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集計" sheetId="1" r:id="rId3"/>
    <sheet state="visible" name="OD 0825" sheetId="2" r:id="rId4"/>
    <sheet state="visible" name="OD 1125" sheetId="3" r:id="rId5"/>
    <sheet state="visible" name="OD 1200" sheetId="4" r:id="rId6"/>
    <sheet state="visible" name="OD 1500" sheetId="5" r:id="rId7"/>
    <sheet state="visible" name="OD 1800" sheetId="6" r:id="rId8"/>
    <sheet state="visible" name="分析" sheetId="7" r:id="rId9"/>
  </sheets>
  <definedNames/>
  <calcPr/>
</workbook>
</file>

<file path=xl/sharedStrings.xml><?xml version="1.0" encoding="utf-8"?>
<sst xmlns="http://schemas.openxmlformats.org/spreadsheetml/2006/main" count="414" uniqueCount="69">
  <si>
    <t>-</t>
  </si>
  <si>
    <t>着</t>
  </si>
  <si>
    <t>5/8(水)</t>
  </si>
  <si>
    <t>発\着</t>
  </si>
  <si>
    <t>図書館</t>
  </si>
  <si>
    <t>会館</t>
  </si>
  <si>
    <t>2外</t>
  </si>
  <si>
    <t>3外</t>
  </si>
  <si>
    <t>一の矢</t>
  </si>
  <si>
    <t>計</t>
  </si>
  <si>
    <t>1学方面 &gt; 2学方面</t>
  </si>
  <si>
    <t>発</t>
  </si>
  <si>
    <t>最大</t>
  </si>
  <si>
    <t>最小</t>
  </si>
  <si>
    <t>平均</t>
  </si>
  <si>
    <t>標準偏差</t>
  </si>
  <si>
    <t>2学方面 &gt; 1学方面</t>
  </si>
  <si>
    <t>3学方面 &gt; 1学方面</t>
  </si>
  <si>
    <t>1学方面 &gt; 3学方面</t>
  </si>
  <si>
    <t>2学方面 &gt; 3学方面</t>
  </si>
  <si>
    <t>3学方面 &gt; 2学方面</t>
  </si>
  <si>
    <t>2学入</t>
  </si>
  <si>
    <t>ア</t>
  </si>
  <si>
    <t>2学出</t>
  </si>
  <si>
    <t>イ</t>
  </si>
  <si>
    <t>3学入</t>
  </si>
  <si>
    <t>3学出</t>
  </si>
  <si>
    <t>会館 &gt; 1学 &gt;図書館(通過)</t>
  </si>
  <si>
    <t>会館 &gt; 1学駐輪(分岐)</t>
  </si>
  <si>
    <t>1学 &gt; 図書館</t>
  </si>
  <si>
    <t>図書館 &gt; 1学</t>
  </si>
  <si>
    <t>1学駐輪in</t>
  </si>
  <si>
    <t>1学 &gt; 会館</t>
  </si>
  <si>
    <t>一の矢入</t>
  </si>
  <si>
    <t>総トリップ縦</t>
  </si>
  <si>
    <t>一の矢出</t>
  </si>
  <si>
    <t>2学駐輪in</t>
  </si>
  <si>
    <t>内々トリップ率</t>
  </si>
  <si>
    <t>2学駐輪out</t>
  </si>
  <si>
    <t>通過交通率</t>
  </si>
  <si>
    <t>1学通過比率</t>
  </si>
  <si>
    <t>(内々+通過)率</t>
  </si>
  <si>
    <t>2学通過比率</t>
  </si>
  <si>
    <t>アクセス率</t>
  </si>
  <si>
    <t>3学駐輪in</t>
  </si>
  <si>
    <t>3学通過比率</t>
  </si>
  <si>
    <t>イグレス率</t>
  </si>
  <si>
    <t>図書館通過比率</t>
  </si>
  <si>
    <t>(アクセス+イグレス)率</t>
  </si>
  <si>
    <t>縦</t>
  </si>
  <si>
    <t>エリア内自転車増加量</t>
  </si>
  <si>
    <t>総トリップ数</t>
  </si>
  <si>
    <t>修正あり</t>
  </si>
  <si>
    <t>外</t>
  </si>
  <si>
    <t>断面総数 1-2</t>
  </si>
  <si>
    <t>断面総数 1-3</t>
  </si>
  <si>
    <t>断面総数 2-3</t>
  </si>
  <si>
    <t>断面総数 2外出入</t>
  </si>
  <si>
    <t>断面総数 3外出入</t>
  </si>
  <si>
    <t>断面総数 一の矢</t>
  </si>
  <si>
    <t>断面総数 1-図書館</t>
  </si>
  <si>
    <t>断面総数 1-会館</t>
  </si>
  <si>
    <t>断面総数 2学出入</t>
  </si>
  <si>
    <t>1＞会館</t>
  </si>
  <si>
    <t>割合</t>
  </si>
  <si>
    <t>会館＞1</t>
  </si>
  <si>
    <t xml:space="preserve"> </t>
  </si>
  <si>
    <t>(通過+ｱｸｾｽ+ｲｸﾞﾚｽ)率</t>
  </si>
  <si>
    <t>(通過+ｱｸｾｽ+ｲｸﾞﾚｽ)数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</si>
</sst>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%"/>
  </numFmts>
  <fonts count="16">
    <font>
      <sz val="12.0"/>
      <color rgb="FF000000"/>
      <name val="游ゴシック"/>
    </font>
    <font/>
    <font>
      <b/>
      <sz val="12.0"/>
      <color rgb="FF000000"/>
      <name val="游ゴシック"/>
    </font>
    <font>
      <sz val="12.0"/>
      <color rgb="FFFFC000"/>
      <name val="游ゴシック"/>
    </font>
    <font>
      <sz val="12.0"/>
      <color rgb="FFFF0000"/>
      <name val="游ゴシック"/>
    </font>
    <font>
      <sz val="12.0"/>
      <color rgb="FF00B050"/>
      <name val="游ゴシック"/>
    </font>
    <font>
      <sz val="12.0"/>
      <color rgb="FF0070C0"/>
      <name val="游ゴシック"/>
    </font>
    <font>
      <sz val="12.0"/>
      <color rgb="FF7030A0"/>
      <name val="游ゴシック"/>
    </font>
    <font>
      <sz val="12.0"/>
      <name val="游ゴシック"/>
    </font>
    <font>
      <sz val="12.0"/>
      <color rgb="FFB7B7B7"/>
      <name val="游ゴシック"/>
    </font>
    <font>
      <sz val="12.0"/>
      <color rgb="FFCCCCCC"/>
      <name val="游ゴシック"/>
    </font>
    <font>
      <sz val="11.0"/>
      <color rgb="FF000000"/>
      <name val="Inconsolata"/>
    </font>
    <font>
      <color rgb="FF000000"/>
    </font>
    <font>
      <b/>
      <color rgb="FF000000"/>
    </font>
    <font>
      <b/>
    </font>
    <font>
      <b/>
      <sz val="12.0"/>
      <name val="游ゴシック"/>
    </font>
  </fonts>
  <fills count="9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4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</border>
    <border>
      <top/>
      <bottom/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readingOrder="0" vertical="center"/>
    </xf>
    <xf borderId="1" fillId="0" fontId="2" numFmtId="0" xfId="0" applyAlignment="1" applyBorder="1" applyFont="1">
      <alignment vertical="center"/>
    </xf>
    <xf borderId="1" fillId="0" fontId="3" numFmtId="0" xfId="0" applyAlignment="1" applyBorder="1" applyFont="1">
      <alignment horizontal="right" vertical="center"/>
    </xf>
    <xf borderId="1" fillId="0" fontId="2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horizontal="right" vertical="center"/>
    </xf>
    <xf borderId="2" fillId="0" fontId="0" numFmtId="0" xfId="0" applyAlignment="1" applyBorder="1" applyFont="1">
      <alignment horizontal="center" vertical="center"/>
    </xf>
    <xf borderId="3" fillId="0" fontId="0" numFmtId="0" xfId="0" applyAlignment="1" applyBorder="1" applyFont="1">
      <alignment horizontal="center" vertical="center"/>
    </xf>
    <xf borderId="4" fillId="0" fontId="0" numFmtId="0" xfId="0" applyAlignment="1" applyBorder="1" applyFont="1">
      <alignment horizontal="center" vertical="center"/>
    </xf>
    <xf borderId="5" fillId="0" fontId="0" numFmtId="0" xfId="0" applyAlignment="1" applyBorder="1" applyFont="1">
      <alignment vertical="center"/>
    </xf>
    <xf borderId="1" fillId="0" fontId="5" numFmtId="0" xfId="0" applyAlignment="1" applyBorder="1" applyFont="1">
      <alignment horizontal="right" vertical="center"/>
    </xf>
    <xf borderId="6" fillId="0" fontId="3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right" vertical="center"/>
    </xf>
    <xf borderId="7" fillId="0" fontId="0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right" vertical="center"/>
    </xf>
    <xf borderId="8" fillId="2" fontId="8" numFmtId="0" xfId="0" applyAlignment="1" applyBorder="1" applyFill="1" applyFont="1">
      <alignment vertical="center"/>
    </xf>
    <xf borderId="9" fillId="3" fontId="0" numFmtId="0" xfId="0" applyAlignment="1" applyBorder="1" applyFill="1" applyFont="1">
      <alignment vertical="center"/>
    </xf>
    <xf borderId="1" fillId="0" fontId="0" numFmtId="0" xfId="0" applyAlignment="1" applyBorder="1" applyFont="1">
      <alignment horizontal="center" vertical="center"/>
    </xf>
    <xf borderId="10" fillId="4" fontId="0" numFmtId="164" xfId="0" applyAlignment="1" applyBorder="1" applyFill="1" applyFont="1" applyNumberFormat="1">
      <alignment horizontal="center" vertical="center"/>
    </xf>
    <xf borderId="6" fillId="0" fontId="4" numFmtId="0" xfId="0" applyAlignment="1" applyBorder="1" applyFont="1">
      <alignment horizontal="center" vertical="center"/>
    </xf>
    <xf borderId="10" fillId="0" fontId="1" numFmtId="0" xfId="0" applyAlignment="1" applyBorder="1" applyFont="1">
      <alignment vertical="center"/>
    </xf>
    <xf borderId="11" fillId="0" fontId="0" numFmtId="0" xfId="0" applyAlignment="1" applyBorder="1" applyFont="1">
      <alignment horizontal="center" vertical="center"/>
    </xf>
    <xf borderId="8" fillId="0" fontId="1" numFmtId="0" xfId="0" applyAlignment="1" applyBorder="1" applyFont="1">
      <alignment vertical="center"/>
    </xf>
    <xf borderId="12" fillId="0" fontId="0" numFmtId="0" xfId="0" applyAlignment="1" applyBorder="1" applyFont="1">
      <alignment horizontal="center" vertical="center"/>
    </xf>
    <xf borderId="13" fillId="2" fontId="0" numFmtId="0" xfId="0" applyAlignment="1" applyBorder="1" applyFont="1">
      <alignment horizontal="center" vertical="center"/>
    </xf>
    <xf borderId="14" fillId="0" fontId="0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15" fillId="4" fontId="0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16" fillId="0" fontId="1" numFmtId="0" xfId="0" applyAlignment="1" applyBorder="1" applyFont="1">
      <alignment vertical="center"/>
    </xf>
    <xf borderId="6" fillId="0" fontId="6" numFmtId="0" xfId="0" applyAlignment="1" applyBorder="1" applyFont="1">
      <alignment horizontal="center" vertical="center"/>
    </xf>
    <xf borderId="17" fillId="0" fontId="1" numFmtId="0" xfId="0" applyAlignment="1" applyBorder="1" applyFont="1">
      <alignment vertical="center"/>
    </xf>
    <xf borderId="6" fillId="0" fontId="7" numFmtId="0" xfId="0" applyAlignment="1" applyBorder="1" applyFont="1">
      <alignment horizontal="center" vertical="center"/>
    </xf>
    <xf borderId="9" fillId="3" fontId="0" numFmtId="0" xfId="0" applyAlignment="1" applyBorder="1" applyFont="1">
      <alignment horizontal="center" vertical="center"/>
    </xf>
    <xf borderId="18" fillId="0" fontId="2" numFmtId="0" xfId="0" applyAlignment="1" applyBorder="1" applyFont="1">
      <alignment horizontal="center" readingOrder="0" vertical="center"/>
    </xf>
    <xf borderId="6" fillId="0" fontId="6" numFmtId="0" xfId="0" applyAlignment="1" applyBorder="1" applyFont="1">
      <alignment horizontal="center" vertical="center"/>
    </xf>
    <xf borderId="8" fillId="5" fontId="0" numFmtId="164" xfId="0" applyAlignment="1" applyBorder="1" applyFill="1" applyFont="1" applyNumberFormat="1">
      <alignment horizontal="center" vertical="center"/>
    </xf>
    <xf borderId="18" fillId="5" fontId="0" numFmtId="164" xfId="0" applyAlignment="1" applyBorder="1" applyFont="1" applyNumberFormat="1">
      <alignment horizontal="center" readingOrder="0" vertical="center"/>
    </xf>
    <xf borderId="19" fillId="0" fontId="7" numFmtId="0" xfId="0" applyAlignment="1" applyBorder="1" applyFont="1">
      <alignment horizontal="center" vertical="center"/>
    </xf>
    <xf borderId="20" fillId="5" fontId="0" numFmtId="164" xfId="0" applyAlignment="1" applyBorder="1" applyFont="1" applyNumberFormat="1">
      <alignment horizontal="center" vertical="center"/>
    </xf>
    <xf borderId="21" fillId="5" fontId="0" numFmtId="164" xfId="0" applyAlignment="1" applyBorder="1" applyFont="1" applyNumberFormat="1">
      <alignment horizontal="center" readingOrder="0" vertical="center"/>
    </xf>
    <xf borderId="19" fillId="0" fontId="0" numFmtId="164" xfId="0" applyAlignment="1" applyBorder="1" applyFont="1" applyNumberFormat="1">
      <alignment horizontal="center" vertical="center"/>
    </xf>
    <xf borderId="4" fillId="0" fontId="2" numFmtId="0" xfId="0" applyAlignment="1" applyBorder="1" applyFont="1">
      <alignment horizontal="center" readingOrder="0" vertical="center"/>
    </xf>
    <xf borderId="19" fillId="4" fontId="2" numFmtId="164" xfId="0" applyAlignment="1" applyBorder="1" applyFont="1" applyNumberFormat="1">
      <alignment horizontal="center" vertical="center"/>
    </xf>
    <xf borderId="6" fillId="0" fontId="7" numFmtId="0" xfId="0" applyAlignment="1" applyBorder="1" applyFont="1">
      <alignment horizontal="center" vertical="center"/>
    </xf>
    <xf borderId="0" fillId="6" fontId="0" numFmtId="0" xfId="0" applyAlignment="1" applyFill="1" applyFont="1">
      <alignment horizontal="center" vertical="center"/>
    </xf>
    <xf borderId="19" fillId="0" fontId="4" numFmtId="0" xfId="0" applyAlignment="1" applyBorder="1" applyFont="1">
      <alignment horizontal="center" vertical="center"/>
    </xf>
    <xf borderId="0" fillId="6" fontId="2" numFmtId="0" xfId="0" applyAlignment="1" applyFont="1">
      <alignment horizontal="center" readingOrder="0" vertical="center"/>
    </xf>
    <xf borderId="22" fillId="4" fontId="2" numFmtId="164" xfId="0" applyAlignment="1" applyBorder="1" applyFont="1" applyNumberFormat="1">
      <alignment horizontal="center" vertical="center"/>
    </xf>
    <xf borderId="19" fillId="4" fontId="0" numFmtId="164" xfId="0" applyAlignment="1" applyBorder="1" applyFont="1" applyNumberFormat="1">
      <alignment horizontal="center" vertical="center"/>
    </xf>
    <xf borderId="19" fillId="0" fontId="5" numFmtId="0" xfId="0" applyAlignment="1" applyBorder="1" applyFont="1">
      <alignment horizontal="center" vertical="center"/>
    </xf>
    <xf borderId="23" fillId="4" fontId="0" numFmtId="164" xfId="0" applyAlignment="1" applyBorder="1" applyFont="1" applyNumberFormat="1">
      <alignment horizontal="center" vertical="center"/>
    </xf>
    <xf borderId="19" fillId="7" fontId="0" numFmtId="164" xfId="0" applyAlignment="1" applyBorder="1" applyFill="1" applyFont="1" applyNumberFormat="1">
      <alignment horizontal="center" vertical="center"/>
    </xf>
    <xf borderId="6" fillId="0" fontId="4" numFmtId="0" xfId="0" applyAlignment="1" applyBorder="1" applyFont="1">
      <alignment horizontal="center" vertical="center"/>
    </xf>
    <xf borderId="19" fillId="0" fontId="1" numFmtId="0" xfId="0" applyAlignment="1" applyBorder="1" applyFont="1">
      <alignment vertical="center"/>
    </xf>
    <xf borderId="0" fillId="6" fontId="0" numFmtId="0" xfId="0" applyAlignment="1" applyFont="1">
      <alignment horizontal="center" readingOrder="0" vertical="center"/>
    </xf>
    <xf borderId="1" fillId="5" fontId="0" numFmtId="164" xfId="0" applyAlignment="1" applyBorder="1" applyFont="1" applyNumberFormat="1">
      <alignment horizontal="center" readingOrder="0" vertical="center"/>
    </xf>
    <xf borderId="24" fillId="0" fontId="0" numFmtId="0" xfId="0" applyAlignment="1" applyBorder="1" applyFont="1">
      <alignment vertical="center"/>
    </xf>
    <xf borderId="6" fillId="7" fontId="4" numFmtId="0" xfId="0" applyAlignment="1" applyBorder="1" applyFont="1">
      <alignment horizontal="center" vertical="center"/>
    </xf>
    <xf borderId="25" fillId="5" fontId="0" numFmtId="164" xfId="0" applyAlignment="1" applyBorder="1" applyFont="1" applyNumberFormat="1">
      <alignment horizontal="center" readingOrder="0" vertical="center"/>
    </xf>
    <xf borderId="8" fillId="0" fontId="0" numFmtId="0" xfId="0" applyAlignment="1" applyBorder="1" applyFont="1">
      <alignment horizontal="center" vertical="center"/>
    </xf>
    <xf borderId="6" fillId="7" fontId="3" numFmtId="0" xfId="0" applyAlignment="1" applyBorder="1" applyFont="1">
      <alignment horizontal="center" vertical="center"/>
    </xf>
    <xf borderId="23" fillId="7" fontId="0" numFmtId="164" xfId="0" applyAlignment="1" applyBorder="1" applyFont="1" applyNumberFormat="1">
      <alignment horizontal="center" vertical="center"/>
    </xf>
    <xf borderId="6" fillId="7" fontId="5" numFmtId="0" xfId="0" applyAlignment="1" applyBorder="1" applyFont="1">
      <alignment horizontal="center" vertical="center"/>
    </xf>
    <xf borderId="26" fillId="0" fontId="1" numFmtId="0" xfId="0" applyAlignment="1" applyBorder="1" applyFont="1">
      <alignment vertical="center"/>
    </xf>
    <xf borderId="27" fillId="0" fontId="1" numFmtId="0" xfId="0" applyAlignment="1" applyBorder="1" applyFont="1">
      <alignment vertical="center"/>
    </xf>
    <xf borderId="8" fillId="7" fontId="0" numFmtId="0" xfId="0" applyAlignment="1" applyBorder="1" applyFont="1">
      <alignment horizontal="center" vertical="center"/>
    </xf>
    <xf borderId="6" fillId="7" fontId="6" numFmtId="0" xfId="0" applyAlignment="1" applyBorder="1" applyFont="1">
      <alignment horizontal="center" vertical="center"/>
    </xf>
    <xf borderId="5" fillId="0" fontId="9" numFmtId="0" xfId="0" applyAlignment="1" applyBorder="1" applyFont="1">
      <alignment vertical="center"/>
    </xf>
    <xf borderId="28" fillId="0" fontId="0" numFmtId="0" xfId="0" applyAlignment="1" applyBorder="1" applyFont="1">
      <alignment horizontal="center" vertical="center"/>
    </xf>
    <xf borderId="6" fillId="7" fontId="7" numFmtId="0" xfId="0" applyAlignment="1" applyBorder="1" applyFont="1">
      <alignment horizontal="center" vertical="center"/>
    </xf>
    <xf borderId="12" fillId="4" fontId="0" numFmtId="164" xfId="0" applyAlignment="1" applyBorder="1" applyFont="1" applyNumberFormat="1">
      <alignment horizontal="center" vertical="center"/>
    </xf>
    <xf borderId="8" fillId="2" fontId="8" numFmtId="164" xfId="0" applyAlignment="1" applyBorder="1" applyFont="1" applyNumberFormat="1">
      <alignment vertical="center"/>
    </xf>
    <xf borderId="6" fillId="7" fontId="6" numFmtId="0" xfId="0" applyAlignment="1" applyBorder="1" applyFont="1">
      <alignment horizontal="center" vertical="center"/>
    </xf>
    <xf borderId="29" fillId="5" fontId="0" numFmtId="164" xfId="0" applyAlignment="1" applyBorder="1" applyFont="1" applyNumberFormat="1">
      <alignment horizontal="center" vertical="center"/>
    </xf>
    <xf borderId="6" fillId="0" fontId="3" numFmtId="0" xfId="0" applyAlignment="1" applyBorder="1" applyFont="1">
      <alignment horizontal="center" vertical="center"/>
    </xf>
    <xf borderId="1" fillId="2" fontId="0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30" fillId="2" fontId="8" numFmtId="0" xfId="0" applyAlignment="1" applyBorder="1" applyFont="1">
      <alignment vertical="center"/>
    </xf>
    <xf borderId="14" fillId="0" fontId="0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10" fillId="7" fontId="0" numFmtId="164" xfId="0" applyAlignment="1" applyBorder="1" applyFont="1" applyNumberFormat="1">
      <alignment horizontal="center" vertical="center"/>
    </xf>
    <xf borderId="4" fillId="0" fontId="0" numFmtId="0" xfId="0" applyAlignment="1" applyBorder="1" applyFont="1">
      <alignment horizontal="center" vertical="center"/>
    </xf>
    <xf borderId="1" fillId="0" fontId="0" numFmtId="164" xfId="0" applyAlignment="1" applyBorder="1" applyFont="1" applyNumberFormat="1">
      <alignment horizontal="center" readingOrder="0" vertical="center"/>
    </xf>
    <xf borderId="28" fillId="5" fontId="0" numFmtId="164" xfId="0" applyAlignment="1" applyBorder="1" applyFont="1" applyNumberFormat="1">
      <alignment horizontal="center" readingOrder="0" vertical="center"/>
    </xf>
    <xf borderId="19" fillId="0" fontId="6" numFmtId="0" xfId="0" applyAlignment="1" applyBorder="1" applyFont="1">
      <alignment horizontal="center" vertical="center"/>
    </xf>
    <xf borderId="0" fillId="0" fontId="1" numFmtId="0" xfId="0" applyAlignment="1" applyFont="1">
      <alignment horizontal="center" readingOrder="0" vertical="center"/>
    </xf>
    <xf borderId="24" fillId="0" fontId="1" numFmtId="0" xfId="0" applyAlignment="1" applyBorder="1" applyFont="1">
      <alignment readingOrder="0" vertical="center"/>
    </xf>
    <xf borderId="31" fillId="0" fontId="1" numFmtId="0" xfId="0" applyAlignment="1" applyBorder="1" applyFont="1">
      <alignment vertical="center"/>
    </xf>
    <xf borderId="19" fillId="0" fontId="3" numFmtId="0" xfId="0" applyAlignment="1" applyBorder="1" applyFon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4" fillId="7" fontId="0" numFmtId="0" xfId="0" applyAlignment="1" applyBorder="1" applyFont="1">
      <alignment horizontal="center" vertical="center"/>
    </xf>
    <xf borderId="0" fillId="0" fontId="0" numFmtId="0" xfId="0" applyAlignment="1" applyFont="1">
      <alignment vertical="center"/>
    </xf>
    <xf borderId="3" fillId="0" fontId="1" numFmtId="2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 vertical="center"/>
    </xf>
    <xf borderId="12" fillId="0" fontId="1" numFmtId="0" xfId="0" applyAlignment="1" applyBorder="1" applyFont="1">
      <alignment readingOrder="0" vertical="center"/>
    </xf>
    <xf borderId="14" fillId="0" fontId="3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vertical="center"/>
    </xf>
    <xf borderId="6" fillId="0" fontId="1" numFmtId="2" xfId="0" applyAlignment="1" applyBorder="1" applyFont="1" applyNumberFormat="1">
      <alignment horizontal="center" vertical="center"/>
    </xf>
    <xf borderId="1" fillId="2" fontId="0" numFmtId="164" xfId="0" applyAlignment="1" applyBorder="1" applyFont="1" applyNumberFormat="1">
      <alignment horizontal="center" vertical="center"/>
    </xf>
    <xf borderId="6" fillId="0" fontId="4" numFmtId="2" xfId="0" applyAlignment="1" applyBorder="1" applyFont="1" applyNumberFormat="1">
      <alignment horizontal="center" vertical="center"/>
    </xf>
    <xf borderId="32" fillId="7" fontId="0" numFmtId="0" xfId="0" applyAlignment="1" applyBorder="1" applyFont="1">
      <alignment vertical="center"/>
    </xf>
    <xf borderId="11" fillId="0" fontId="0" numFmtId="0" xfId="0" applyAlignment="1" applyBorder="1" applyFont="1">
      <alignment vertical="center"/>
    </xf>
    <xf borderId="14" fillId="0" fontId="6" numFmtId="0" xfId="0" applyAlignment="1" applyBorder="1" applyFont="1">
      <alignment horizontal="center" vertical="center"/>
    </xf>
    <xf borderId="33" fillId="0" fontId="1" numFmtId="0" xfId="0" applyAlignment="1" applyBorder="1" applyFont="1">
      <alignment vertical="center"/>
    </xf>
    <xf borderId="14" fillId="0" fontId="7" numFmtId="0" xfId="0" applyAlignment="1" applyBorder="1" applyFont="1">
      <alignment horizontal="center" vertical="center"/>
    </xf>
    <xf borderId="1" fillId="0" fontId="1" numFmtId="2" xfId="0" applyAlignment="1" applyBorder="1" applyFont="1" applyNumberFormat="1">
      <alignment horizontal="center" vertical="center"/>
    </xf>
    <xf borderId="34" fillId="5" fontId="0" numFmtId="164" xfId="0" applyAlignment="1" applyBorder="1" applyFont="1" applyNumberFormat="1">
      <alignment horizontal="center" readingOrder="0" vertical="center"/>
    </xf>
    <xf borderId="12" fillId="0" fontId="0" numFmtId="0" xfId="0" applyAlignment="1" applyBorder="1" applyFont="1">
      <alignment vertical="center"/>
    </xf>
    <xf borderId="14" fillId="0" fontId="4" numFmtId="2" xfId="0" applyAlignment="1" applyBorder="1" applyFont="1" applyNumberFormat="1">
      <alignment horizontal="center" vertical="center"/>
    </xf>
    <xf borderId="35" fillId="5" fontId="0" numFmtId="164" xfId="0" applyAlignment="1" applyBorder="1" applyFont="1" applyNumberFormat="1">
      <alignment horizontal="center" readingOrder="0" vertical="center"/>
    </xf>
    <xf borderId="5" fillId="0" fontId="10" numFmtId="0" xfId="0" applyAlignment="1" applyBorder="1" applyFont="1">
      <alignment vertical="center"/>
    </xf>
    <xf borderId="20" fillId="0" fontId="0" numFmtId="0" xfId="0" applyAlignment="1" applyBorder="1" applyFont="1">
      <alignment vertical="center"/>
    </xf>
    <xf borderId="36" fillId="2" fontId="0" numFmtId="0" xfId="0" applyAlignment="1" applyBorder="1" applyFont="1">
      <alignment horizontal="center" vertical="center"/>
    </xf>
    <xf borderId="37" fillId="0" fontId="4" numFmtId="0" xfId="0" applyAlignment="1" applyBorder="1" applyFont="1">
      <alignment horizontal="center" vertical="center"/>
    </xf>
    <xf borderId="38" fillId="0" fontId="3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 vertical="center"/>
    </xf>
    <xf borderId="12" fillId="7" fontId="0" numFmtId="164" xfId="0" applyAlignment="1" applyBorder="1" applyFont="1" applyNumberFormat="1">
      <alignment horizontal="center" vertical="center"/>
    </xf>
    <xf borderId="1" fillId="7" fontId="1" numFmtId="2" xfId="0" applyAlignment="1" applyBorder="1" applyFont="1" applyNumberFormat="1">
      <alignment horizontal="center" readingOrder="0" vertical="center"/>
    </xf>
    <xf borderId="14" fillId="7" fontId="0" numFmtId="0" xfId="0" applyAlignment="1" applyBorder="1" applyFont="1">
      <alignment horizontal="center" vertical="center"/>
    </xf>
    <xf borderId="33" fillId="0" fontId="4" numFmtId="0" xfId="0" applyAlignment="1" applyBorder="1" applyFont="1">
      <alignment horizontal="center" vertical="center"/>
    </xf>
    <xf borderId="38" fillId="0" fontId="5" numFmtId="0" xfId="0" applyAlignment="1" applyBorder="1" applyFont="1">
      <alignment horizontal="center" vertical="center"/>
    </xf>
    <xf borderId="38" fillId="0" fontId="6" numFmtId="0" xfId="0" applyAlignment="1" applyBorder="1" applyFont="1">
      <alignment horizontal="center" vertical="center"/>
    </xf>
    <xf borderId="1" fillId="0" fontId="1" numFmtId="164" xfId="0" applyAlignment="1" applyBorder="1" applyFont="1" applyNumberFormat="1">
      <alignment horizontal="center" vertical="center"/>
    </xf>
    <xf borderId="39" fillId="0" fontId="7" numFmtId="0" xfId="0" applyAlignment="1" applyBorder="1" applyFont="1">
      <alignment horizontal="center" vertical="center"/>
    </xf>
    <xf borderId="6" fillId="0" fontId="0" numFmtId="0" xfId="0" applyAlignment="1" applyBorder="1" applyFont="1">
      <alignment horizontal="center" vertical="center"/>
    </xf>
    <xf borderId="14" fillId="0" fontId="1" numFmtId="164" xfId="0" applyAlignment="1" applyBorder="1" applyFont="1" applyNumberFormat="1">
      <alignment horizontal="center" vertical="center"/>
    </xf>
    <xf borderId="19" fillId="0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19" fillId="0" fontId="0" numFmtId="0" xfId="0" applyAlignment="1" applyBorder="1" applyFont="1">
      <alignment vertical="center"/>
    </xf>
    <xf borderId="40" fillId="0" fontId="3" numFmtId="0" xfId="0" applyAlignment="1" applyBorder="1" applyFont="1">
      <alignment horizontal="center" vertical="center"/>
    </xf>
    <xf borderId="19" fillId="0" fontId="0" numFmtId="0" xfId="0" applyAlignment="1" applyBorder="1" applyFont="1">
      <alignment readingOrder="0" vertical="center"/>
    </xf>
    <xf borderId="1" fillId="0" fontId="0" numFmtId="0" xfId="0" applyAlignment="1" applyBorder="1" applyFont="1">
      <alignment horizontal="center" readingOrder="0" vertical="center"/>
    </xf>
    <xf borderId="3" fillId="0" fontId="0" numFmtId="0" xfId="0" applyAlignment="1" applyBorder="1" applyFont="1">
      <alignment horizontal="center" readingOrder="0" vertical="center"/>
    </xf>
    <xf borderId="19" fillId="0" fontId="4" numFmtId="164" xfId="0" applyAlignment="1" applyBorder="1" applyFont="1" applyNumberFormat="1">
      <alignment horizontal="center" readingOrder="0" vertical="center"/>
    </xf>
    <xf borderId="3" fillId="0" fontId="1" numFmtId="0" xfId="0" applyAlignment="1" applyBorder="1" applyFont="1">
      <alignment horizontal="center" readingOrder="0" vertical="center"/>
    </xf>
    <xf borderId="1" fillId="0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19" fillId="0" fontId="3" numFmtId="164" xfId="0" applyAlignment="1" applyBorder="1" applyFont="1" applyNumberFormat="1">
      <alignment horizontal="center" readingOrder="0" vertical="center"/>
    </xf>
    <xf borderId="11" fillId="0" fontId="0" numFmtId="0" xfId="0" applyAlignment="1" applyBorder="1" applyFont="1">
      <alignment horizontal="center" readingOrder="0" vertical="center"/>
    </xf>
    <xf borderId="19" fillId="0" fontId="5" numFmtId="164" xfId="0" applyAlignment="1" applyBorder="1" applyFont="1" applyNumberFormat="1">
      <alignment horizontal="center" readingOrder="0" vertical="center"/>
    </xf>
    <xf borderId="41" fillId="6" fontId="0" numFmtId="0" xfId="0" applyAlignment="1" applyBorder="1" applyFont="1">
      <alignment horizontal="center" readingOrder="0" vertical="center"/>
    </xf>
    <xf borderId="19" fillId="0" fontId="6" numFmtId="164" xfId="0" applyAlignment="1" applyBorder="1" applyFont="1" applyNumberFormat="1">
      <alignment horizontal="center" readingOrder="0" vertical="center"/>
    </xf>
    <xf borderId="42" fillId="4" fontId="1" numFmtId="164" xfId="0" applyAlignment="1" applyBorder="1" applyFont="1" applyNumberFormat="1">
      <alignment horizontal="center" vertical="center"/>
    </xf>
    <xf borderId="19" fillId="0" fontId="7" numFmtId="164" xfId="0" applyAlignment="1" applyBorder="1" applyFont="1" applyNumberFormat="1">
      <alignment horizontal="center" readingOrder="0" vertical="center"/>
    </xf>
    <xf borderId="40" fillId="0" fontId="4" numFmtId="0" xfId="0" applyAlignment="1" applyBorder="1" applyFont="1">
      <alignment horizontal="center" vertical="center"/>
    </xf>
    <xf borderId="6" fillId="0" fontId="4" numFmtId="164" xfId="0" applyAlignment="1" applyBorder="1" applyFont="1" applyNumberFormat="1">
      <alignment horizontal="center" vertical="center"/>
    </xf>
    <xf borderId="21" fillId="5" fontId="1" numFmtId="164" xfId="0" applyAlignment="1" applyBorder="1" applyFont="1" applyNumberFormat="1">
      <alignment horizontal="center" vertical="center"/>
    </xf>
    <xf borderId="19" fillId="0" fontId="7" numFmtId="164" xfId="0" applyAlignment="1" applyBorder="1" applyFont="1" applyNumberFormat="1">
      <alignment horizontal="center" vertical="center"/>
    </xf>
    <xf borderId="23" fillId="7" fontId="11" numFmtId="164" xfId="0" applyAlignment="1" applyBorder="1" applyFont="1" applyNumberFormat="1">
      <alignment horizontal="center" vertical="center"/>
    </xf>
    <xf borderId="19" fillId="0" fontId="4" numFmtId="2" xfId="0" applyAlignment="1" applyBorder="1" applyFont="1" applyNumberFormat="1">
      <alignment horizontal="center" vertical="center"/>
    </xf>
    <xf borderId="3" fillId="0" fontId="0" numFmtId="0" xfId="0" applyAlignment="1" applyBorder="1" applyFont="1">
      <alignment vertical="center"/>
    </xf>
    <xf borderId="19" fillId="0" fontId="3" numFmtId="2" xfId="0" applyAlignment="1" applyBorder="1" applyFont="1" applyNumberFormat="1">
      <alignment horizontal="center" vertical="center"/>
    </xf>
    <xf borderId="19" fillId="0" fontId="5" numFmtId="2" xfId="0" applyAlignment="1" applyBorder="1" applyFont="1" applyNumberFormat="1">
      <alignment horizontal="center" vertical="center"/>
    </xf>
    <xf borderId="23" fillId="0" fontId="3" numFmtId="0" xfId="0" applyAlignment="1" applyBorder="1" applyFont="1">
      <alignment horizontal="center" vertical="center"/>
    </xf>
    <xf borderId="19" fillId="0" fontId="6" numFmtId="2" xfId="0" applyAlignment="1" applyBorder="1" applyFont="1" applyNumberFormat="1">
      <alignment horizontal="center" vertical="center"/>
    </xf>
    <xf borderId="6" fillId="0" fontId="1" numFmtId="0" xfId="0" applyAlignment="1" applyBorder="1" applyFont="1">
      <alignment vertical="center"/>
    </xf>
    <xf borderId="19" fillId="0" fontId="7" numFmtId="2" xfId="0" applyAlignment="1" applyBorder="1" applyFont="1" applyNumberFormat="1">
      <alignment horizontal="center" vertical="center"/>
    </xf>
    <xf borderId="25" fillId="5" fontId="1" numFmtId="164" xfId="0" applyAlignment="1" applyBorder="1" applyFont="1" applyNumberFormat="1">
      <alignment horizontal="center" vertical="center"/>
    </xf>
    <xf borderId="9" fillId="3" fontId="0" numFmtId="2" xfId="0" applyAlignment="1" applyBorder="1" applyFont="1" applyNumberFormat="1">
      <alignment horizontal="center" vertical="center"/>
    </xf>
    <xf borderId="6" fillId="0" fontId="0" numFmtId="0" xfId="0" applyAlignment="1" applyBorder="1" applyFont="1">
      <alignment vertical="center"/>
    </xf>
    <xf borderId="6" fillId="0" fontId="0" numFmtId="2" xfId="0" applyAlignment="1" applyBorder="1" applyFont="1" applyNumberFormat="1">
      <alignment horizontal="center" vertical="center"/>
    </xf>
    <xf borderId="23" fillId="0" fontId="4" numFmtId="0" xfId="0" applyAlignment="1" applyBorder="1" applyFont="1">
      <alignment horizontal="center" vertical="center"/>
    </xf>
    <xf borderId="19" fillId="0" fontId="0" numFmtId="2" xfId="0" applyAlignment="1" applyBorder="1" applyFont="1" applyNumberFormat="1">
      <alignment horizontal="center" vertical="center"/>
    </xf>
    <xf borderId="14" fillId="0" fontId="1" numFmtId="0" xfId="0" applyAlignment="1" applyBorder="1" applyFont="1">
      <alignment vertical="center"/>
    </xf>
    <xf borderId="11" fillId="0" fontId="1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43" fillId="4" fontId="1" numFmtId="164" xfId="0" applyAlignment="1" applyBorder="1" applyFont="1" applyNumberFormat="1">
      <alignment horizontal="center" vertical="center"/>
    </xf>
    <xf borderId="43" fillId="4" fontId="1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4" fillId="0" fontId="1" numFmtId="0" xfId="0" applyAlignment="1" applyBorder="1" applyFont="1">
      <alignment vertical="center"/>
    </xf>
    <xf borderId="0" fillId="0" fontId="7" numFmtId="0" xfId="0" applyAlignment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6" fillId="0" fontId="6" numFmtId="2" xfId="0" applyAlignment="1" applyBorder="1" applyFont="1" applyNumberFormat="1">
      <alignment horizontal="center" vertical="center"/>
    </xf>
    <xf borderId="34" fillId="5" fontId="1" numFmtId="164" xfId="0" applyAlignment="1" applyBorder="1" applyFont="1" applyNumberFormat="1">
      <alignment horizontal="center" vertical="center"/>
    </xf>
    <xf borderId="35" fillId="5" fontId="1" numFmtId="164" xfId="0" applyAlignment="1" applyBorder="1" applyFont="1" applyNumberFormat="1">
      <alignment horizontal="center" vertical="center"/>
    </xf>
    <xf borderId="36" fillId="5" fontId="1" numFmtId="164" xfId="0" applyAlignment="1" applyBorder="1" applyFont="1" applyNumberFormat="1">
      <alignment horizontal="center" vertical="center"/>
    </xf>
    <xf borderId="4" fillId="7" fontId="11" numFmtId="164" xfId="0" applyAlignment="1" applyBorder="1" applyFont="1" applyNumberFormat="1">
      <alignment horizontal="center" vertical="center"/>
    </xf>
    <xf borderId="12" fillId="7" fontId="11" numFmtId="164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vertical="center"/>
    </xf>
    <xf borderId="14" fillId="0" fontId="0" numFmtId="0" xfId="0" applyAlignment="1" applyBorder="1" applyFont="1">
      <alignment vertical="center"/>
    </xf>
    <xf borderId="6" fillId="0" fontId="7" numFmtId="2" xfId="0" applyAlignment="1" applyBorder="1" applyFont="1" applyNumberFormat="1">
      <alignment horizontal="center" vertical="center"/>
    </xf>
    <xf borderId="8" fillId="0" fontId="4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vertical="center"/>
    </xf>
    <xf borderId="19" fillId="0" fontId="4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9" fillId="0" fontId="3" numFmtId="164" xfId="0" applyAlignment="1" applyBorder="1" applyFont="1" applyNumberFormat="1">
      <alignment horizontal="center" vertical="center"/>
    </xf>
    <xf borderId="19" fillId="0" fontId="5" numFmtId="164" xfId="0" applyAlignment="1" applyBorder="1" applyFont="1" applyNumberFormat="1">
      <alignment horizontal="center" vertical="center"/>
    </xf>
    <xf borderId="19" fillId="0" fontId="6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12" numFmtId="0" xfId="0" applyAlignment="1" applyFont="1">
      <alignment vertical="center"/>
    </xf>
    <xf borderId="8" fillId="0" fontId="0" numFmtId="0" xfId="0" applyAlignment="1" applyBorder="1" applyFont="1">
      <alignment horizontal="center" vertical="center"/>
    </xf>
    <xf borderId="19" fillId="0" fontId="0" numFmtId="0" xfId="0" applyAlignment="1" applyBorder="1" applyFont="1">
      <alignment vertical="center"/>
    </xf>
    <xf borderId="19" fillId="0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vertical="center"/>
    </xf>
    <xf borderId="0" fillId="0" fontId="0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2" numFmtId="2" xfId="0" applyAlignment="1" applyFont="1" applyNumberFormat="1">
      <alignment horizontal="center" vertical="center"/>
    </xf>
    <xf borderId="0" fillId="0" fontId="13" numFmtId="0" xfId="0" applyAlignment="1" applyFont="1">
      <alignment vertical="center"/>
    </xf>
    <xf borderId="3" fillId="0" fontId="1" numFmtId="0" xfId="0" applyAlignment="1" applyBorder="1" applyFont="1">
      <alignment horizontal="center" vertical="center"/>
    </xf>
    <xf borderId="40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horizontal="center" vertical="center"/>
    </xf>
    <xf borderId="1" fillId="0" fontId="14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readingOrder="0" vertical="center"/>
    </xf>
    <xf borderId="3" fillId="0" fontId="1" numFmtId="164" xfId="0" applyAlignment="1" applyBorder="1" applyFont="1" applyNumberFormat="1">
      <alignment horizontal="center" readingOrder="0" vertical="center"/>
    </xf>
    <xf borderId="14" fillId="0" fontId="0" numFmtId="0" xfId="0" applyAlignment="1" applyBorder="1" applyFont="1">
      <alignment horizontal="center" readingOrder="0" vertical="center"/>
    </xf>
    <xf borderId="1" fillId="0" fontId="1" numFmtId="164" xfId="0" applyAlignment="1" applyBorder="1" applyFont="1" applyNumberFormat="1">
      <alignment horizontal="center" readingOrder="0" vertical="center"/>
    </xf>
    <xf borderId="40" fillId="0" fontId="6" numFmtId="0" xfId="0" applyAlignment="1" applyBorder="1" applyFont="1">
      <alignment horizontal="center" vertical="center"/>
    </xf>
    <xf borderId="23" fillId="0" fontId="6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40" fillId="0" fontId="7" numFmtId="0" xfId="0" applyAlignment="1" applyBorder="1" applyFont="1">
      <alignment horizontal="center" vertical="center"/>
    </xf>
    <xf borderId="23" fillId="0" fontId="7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center" vertical="center"/>
    </xf>
    <xf borderId="0" fillId="0" fontId="8" numFmtId="0" xfId="0" applyAlignment="1" applyFont="1">
      <alignment readingOrder="0" vertical="center"/>
    </xf>
    <xf borderId="10" fillId="0" fontId="15" numFmtId="0" xfId="0" applyAlignment="1" applyBorder="1" applyFont="1">
      <alignment horizontal="right" vertical="center"/>
    </xf>
    <xf borderId="0" fillId="0" fontId="8" numFmtId="0" xfId="0" applyAlignment="1" applyFont="1">
      <alignment vertical="center"/>
    </xf>
    <xf borderId="0" fillId="0" fontId="8" numFmtId="165" xfId="0" applyAlignment="1" applyFont="1" applyNumberFormat="1">
      <alignment horizontal="right" vertical="center"/>
    </xf>
    <xf borderId="0" fillId="0" fontId="8" numFmtId="4" xfId="0" applyAlignment="1" applyFont="1" applyNumberFormat="1">
      <alignment horizontal="right" vertical="center"/>
    </xf>
    <xf borderId="0" fillId="0" fontId="8" numFmtId="0" xfId="0" applyAlignment="1" applyFont="1">
      <alignment vertical="center"/>
    </xf>
    <xf borderId="0" fillId="8" fontId="8" numFmtId="0" xfId="0" applyAlignment="1" applyFill="1" applyFont="1">
      <alignment vertical="center"/>
    </xf>
    <xf borderId="0" fillId="8" fontId="8" numFmtId="1" xfId="0" applyAlignment="1" applyFont="1" applyNumberFormat="1">
      <alignment horizontal="right" vertical="center"/>
    </xf>
    <xf borderId="0" fillId="0" fontId="8" numFmtId="2" xfId="0" applyAlignment="1" applyFont="1" applyNumberFormat="1">
      <alignment horizontal="right" vertical="center"/>
    </xf>
    <xf borderId="0" fillId="0" fontId="1" numFmtId="2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'分析'!$A$2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'分析'!$B$2:$F$2</c:f>
            </c:numRef>
          </c:val>
          <c:smooth val="0"/>
        </c:ser>
        <c:ser>
          <c:idx val="1"/>
          <c:order val="1"/>
          <c:tx>
            <c:strRef>
              <c:f>'分析'!$A$3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'分析'!$B$3:$F$3</c:f>
            </c:numRef>
          </c:val>
          <c:smooth val="0"/>
        </c:ser>
        <c:ser>
          <c:idx val="2"/>
          <c:order val="2"/>
          <c:tx>
            <c:strRef>
              <c:f>'分析'!$A$4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'分析'!$B$4:$F$4</c:f>
            </c:numRef>
          </c:val>
          <c:smooth val="0"/>
        </c:ser>
        <c:ser>
          <c:idx val="3"/>
          <c:order val="3"/>
          <c:tx>
            <c:strRef>
              <c:f>'分析'!$A$5</c:f>
            </c:strRef>
          </c:tx>
          <c:spPr>
            <a:ln cmpd="sng" w="19050">
              <a:solidFill>
                <a:srgbClr val="109618"/>
              </a:solidFill>
            </a:ln>
          </c:spPr>
          <c:marker>
            <c:symbol val="circle"/>
            <c:size val="7"/>
            <c:spPr>
              <a:solidFill>
                <a:srgbClr val="109618"/>
              </a:solidFill>
              <a:ln cmpd="sng">
                <a:solidFill>
                  <a:srgbClr val="109618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'分析'!$B$5:$F$5</c:f>
            </c:numRef>
          </c:val>
          <c:smooth val="0"/>
        </c:ser>
        <c:axId val="1238172206"/>
        <c:axId val="1808226222"/>
      </c:lineChart>
      <c:catAx>
        <c:axId val="1238172206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808226222"/>
      </c:catAx>
      <c:valAx>
        <c:axId val="18082262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238172206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'分析'!$A$9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'分析'!$B$9:$F$9</c:f>
            </c:numRef>
          </c:val>
          <c:smooth val="0"/>
        </c:ser>
        <c:ser>
          <c:idx val="1"/>
          <c:order val="1"/>
          <c:tx>
            <c:strRef>
              <c:f>'分析'!$A$10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'分析'!$B$10:$F$10</c:f>
            </c:numRef>
          </c:val>
          <c:smooth val="0"/>
        </c:ser>
        <c:ser>
          <c:idx val="2"/>
          <c:order val="2"/>
          <c:tx>
            <c:strRef>
              <c:f>'分析'!$A$11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'分析'!$B$11:$F$11</c:f>
            </c:numRef>
          </c:val>
          <c:smooth val="0"/>
        </c:ser>
        <c:axId val="1139016201"/>
        <c:axId val="1118302674"/>
      </c:lineChart>
      <c:catAx>
        <c:axId val="1139016201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118302674"/>
      </c:catAx>
      <c:valAx>
        <c:axId val="11183026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139016201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エリア内自転車増加量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'分析'!$A$15</c:f>
            </c:strRef>
          </c:tx>
          <c:spPr>
            <a:solidFill>
              <a:srgbClr val="3366CC"/>
            </a:solidFill>
          </c:spPr>
          <c:cat>
            <c:strRef>
              <c:f>'分析'!$B$14:$F$14</c:f>
            </c:strRef>
          </c:cat>
          <c:val>
            <c:numRef>
              <c:f>'分析'!$B$15:$F$15</c:f>
            </c:numRef>
          </c:val>
        </c:ser>
        <c:axId val="1901908004"/>
        <c:axId val="1378343470"/>
      </c:barChart>
      <c:catAx>
        <c:axId val="1901908004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378343470"/>
      </c:catAx>
      <c:valAx>
        <c:axId val="13783434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エリア内自転車増加量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901908004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'分析'!$A$2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'分析'!$B$2:$F$2</c:f>
            </c:numRef>
          </c:val>
        </c:ser>
        <c:ser>
          <c:idx val="1"/>
          <c:order val="1"/>
          <c:tx>
            <c:strRef>
              <c:f>'分析'!$A$3</c:f>
            </c:strRef>
          </c:tx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'分析'!$B$3:$F$3</c:f>
            </c:numRef>
          </c:val>
        </c:ser>
        <c:ser>
          <c:idx val="2"/>
          <c:order val="2"/>
          <c:tx>
            <c:strRef>
              <c:f>'分析'!$A$4</c:f>
            </c:strRef>
          </c:tx>
          <c:spPr>
            <a:solidFill>
              <a:srgbClr val="FF9900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'分析'!$B$4:$F$4</c:f>
            </c:numRef>
          </c:val>
        </c:ser>
        <c:ser>
          <c:idx val="3"/>
          <c:order val="3"/>
          <c:tx>
            <c:strRef>
              <c:f>'分析'!$A$5</c:f>
            </c:strRef>
          </c:tx>
          <c:spPr>
            <a:solidFill>
              <a:srgbClr val="109618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'分析'!$B$5:$F$5</c:f>
            </c:numRef>
          </c:val>
        </c:ser>
        <c:overlap val="100"/>
        <c:axId val="831761101"/>
        <c:axId val="2139648021"/>
      </c:barChart>
      <c:catAx>
        <c:axId val="831761101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2139648021"/>
      </c:catAx>
      <c:valAx>
        <c:axId val="21396480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831761101"/>
      </c:valAx>
    </c:plotArea>
    <c:legend>
      <c:legendPos val="r"/>
      <c:overlay val="0"/>
    </c:legend>
    <c:plotVisOnly val="1"/>
  </c:chart>
</c:chartSpace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742950</xdr:colOff>
      <xdr:row>18</xdr:row>
      <xdr:rowOff>19050</xdr:rowOff>
    </xdr:from>
    <xdr:ext cx="5715000" cy="3533775"/>
    <xdr:graphicFrame>
      <xdr:nvGraphicFramePr>
        <xdr:cNvPr id="1" name="Chart 1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85725</xdr:colOff>
      <xdr:row>18</xdr:row>
      <xdr:rowOff>19050</xdr:rowOff>
    </xdr:from>
    <xdr:ext cx="5715000" cy="3533775"/>
    <xdr:graphicFrame>
      <xdr:nvGraphicFramePr>
        <xdr:cNvPr id="2" name="Chart 2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628650</xdr:colOff>
      <xdr:row>3</xdr:row>
      <xdr:rowOff>0</xdr:rowOff>
    </xdr:from>
    <xdr:ext cx="4191000" cy="2590800"/>
    <xdr:graphicFrame>
      <xdr:nvGraphicFramePr>
        <xdr:cNvPr id="3" name="Chart 3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12</xdr:col>
      <xdr:colOff>819150</xdr:colOff>
      <xdr:row>18</xdr:row>
      <xdr:rowOff>19050</xdr:rowOff>
    </xdr:from>
    <xdr:ext cx="5715000" cy="3533775"/>
    <xdr:graphicFrame>
      <xdr:nvGraphicFramePr>
        <xdr:cNvPr id="4" name="Chart 4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89"/>
    <col customWidth="1" min="2" max="6" width="8.33"/>
    <col customWidth="1" min="7" max="7" width="3.33"/>
    <col customWidth="1" min="8" max="26" width="8.33"/>
  </cols>
  <sheetData>
    <row r="1" ht="19.5" customHeight="1">
      <c r="A1" s="2" t="s">
        <v>2</v>
      </c>
      <c r="B1" s="5">
        <v>825.0</v>
      </c>
      <c r="C1" s="3">
        <v>1125.0</v>
      </c>
      <c r="D1" s="10">
        <v>1200.0</v>
      </c>
      <c r="E1" s="12">
        <v>1500.0</v>
      </c>
      <c r="F1" s="14">
        <v>1800.0</v>
      </c>
      <c r="G1" s="16"/>
      <c r="H1" s="23" t="s">
        <v>12</v>
      </c>
      <c r="I1" s="23" t="s">
        <v>13</v>
      </c>
      <c r="J1" s="23" t="s">
        <v>14</v>
      </c>
      <c r="K1" s="25" t="s">
        <v>15</v>
      </c>
    </row>
    <row r="2" ht="19.5" customHeight="1">
      <c r="A2" s="9" t="s">
        <v>10</v>
      </c>
      <c r="B2" s="19">
        <v>198.0</v>
      </c>
      <c r="C2" s="11">
        <v>123.0</v>
      </c>
      <c r="D2" s="28">
        <v>116.0</v>
      </c>
      <c r="E2" s="30">
        <v>205.0</v>
      </c>
      <c r="F2" s="32">
        <v>38.0</v>
      </c>
      <c r="G2" s="33"/>
      <c r="H2" s="35">
        <f t="shared" ref="H2:H22" si="1">MAX(B2:F2)</f>
        <v>205</v>
      </c>
      <c r="I2" s="38">
        <f t="shared" ref="I2:I22" si="2">MIN(B2:F2)</f>
        <v>38</v>
      </c>
      <c r="J2" s="41">
        <f t="shared" ref="J2:J22" si="3">AVERAGE(B2:F2)</f>
        <v>136</v>
      </c>
      <c r="K2" s="41">
        <f t="shared" ref="K2:K22" si="4">STDEVP(B2:F2)</f>
        <v>61.28295032</v>
      </c>
    </row>
    <row r="3" ht="19.5" customHeight="1">
      <c r="A3" s="9" t="s">
        <v>16</v>
      </c>
      <c r="B3" s="19">
        <v>44.0</v>
      </c>
      <c r="C3" s="11">
        <v>147.0</v>
      </c>
      <c r="D3" s="28">
        <v>123.0</v>
      </c>
      <c r="E3" s="30">
        <v>135.0</v>
      </c>
      <c r="F3" s="32">
        <v>170.0</v>
      </c>
      <c r="G3" s="33"/>
      <c r="H3" s="44">
        <f t="shared" si="1"/>
        <v>170</v>
      </c>
      <c r="I3" s="46">
        <f t="shared" si="2"/>
        <v>44</v>
      </c>
      <c r="J3" s="41">
        <f t="shared" si="3"/>
        <v>123.8</v>
      </c>
      <c r="K3" s="41">
        <f t="shared" si="4"/>
        <v>42.81775333</v>
      </c>
    </row>
    <row r="4" ht="19.5" customHeight="1">
      <c r="A4" s="9" t="s">
        <v>17</v>
      </c>
      <c r="B4" s="19">
        <v>7.0</v>
      </c>
      <c r="C4" s="11">
        <v>60.0</v>
      </c>
      <c r="D4" s="28">
        <v>39.0</v>
      </c>
      <c r="E4" s="30">
        <v>63.0</v>
      </c>
      <c r="F4" s="32">
        <v>68.0</v>
      </c>
      <c r="G4" s="33"/>
      <c r="H4" s="44">
        <f t="shared" si="1"/>
        <v>68</v>
      </c>
      <c r="I4" s="46">
        <f t="shared" si="2"/>
        <v>7</v>
      </c>
      <c r="J4" s="41">
        <f t="shared" si="3"/>
        <v>47.4</v>
      </c>
      <c r="K4" s="41">
        <f t="shared" si="4"/>
        <v>22.49088704</v>
      </c>
    </row>
    <row r="5" ht="19.5" customHeight="1">
      <c r="A5" s="9" t="s">
        <v>18</v>
      </c>
      <c r="B5" s="19">
        <v>45.0</v>
      </c>
      <c r="C5" s="11">
        <v>53.0</v>
      </c>
      <c r="D5" s="28">
        <v>33.0</v>
      </c>
      <c r="E5" s="30">
        <v>89.0</v>
      </c>
      <c r="F5" s="32">
        <v>40.0</v>
      </c>
      <c r="G5" s="33"/>
      <c r="H5" s="35">
        <f t="shared" si="1"/>
        <v>89</v>
      </c>
      <c r="I5" s="50">
        <f t="shared" si="2"/>
        <v>33</v>
      </c>
      <c r="J5" s="41">
        <f t="shared" si="3"/>
        <v>52</v>
      </c>
      <c r="K5" s="41">
        <f t="shared" si="4"/>
        <v>19.61631974</v>
      </c>
    </row>
    <row r="6" ht="19.5" customHeight="1">
      <c r="A6" s="9" t="s">
        <v>19</v>
      </c>
      <c r="B6" s="19">
        <v>87.0</v>
      </c>
      <c r="C6" s="11">
        <v>44.0</v>
      </c>
      <c r="D6" s="28">
        <v>42.0</v>
      </c>
      <c r="E6" s="30">
        <v>39.0</v>
      </c>
      <c r="F6" s="32">
        <v>31.0</v>
      </c>
      <c r="G6" s="33"/>
      <c r="H6" s="53">
        <f t="shared" si="1"/>
        <v>87</v>
      </c>
      <c r="I6" s="38">
        <f t="shared" si="2"/>
        <v>31</v>
      </c>
      <c r="J6" s="41">
        <f t="shared" si="3"/>
        <v>48.6</v>
      </c>
      <c r="K6" s="41">
        <f t="shared" si="4"/>
        <v>19.70380674</v>
      </c>
    </row>
    <row r="7" ht="19.5" customHeight="1">
      <c r="A7" s="9" t="s">
        <v>20</v>
      </c>
      <c r="B7" s="19">
        <v>34.0</v>
      </c>
      <c r="C7" s="11">
        <v>33.0</v>
      </c>
      <c r="D7" s="28">
        <v>32.0</v>
      </c>
      <c r="E7" s="30">
        <v>54.0</v>
      </c>
      <c r="F7" s="32">
        <v>55.0</v>
      </c>
      <c r="G7" s="33"/>
      <c r="H7" s="44">
        <f t="shared" si="1"/>
        <v>55</v>
      </c>
      <c r="I7" s="50">
        <f t="shared" si="2"/>
        <v>32</v>
      </c>
      <c r="J7" s="41">
        <f t="shared" si="3"/>
        <v>41.6</v>
      </c>
      <c r="K7" s="41">
        <f t="shared" si="4"/>
        <v>10.55651458</v>
      </c>
    </row>
    <row r="8" ht="19.5" customHeight="1">
      <c r="A8" s="57" t="s">
        <v>21</v>
      </c>
      <c r="B8" s="58">
        <v>68.0</v>
      </c>
      <c r="C8" s="61">
        <v>22.0</v>
      </c>
      <c r="D8" s="63">
        <v>47.0</v>
      </c>
      <c r="E8" s="30">
        <v>13.0</v>
      </c>
      <c r="F8" s="32">
        <v>9.0</v>
      </c>
      <c r="G8" s="33" t="s">
        <v>22</v>
      </c>
      <c r="H8" s="53">
        <f t="shared" si="1"/>
        <v>68</v>
      </c>
      <c r="I8" s="38">
        <f t="shared" si="2"/>
        <v>9</v>
      </c>
      <c r="J8" s="41">
        <f t="shared" si="3"/>
        <v>31.8</v>
      </c>
      <c r="K8" s="41">
        <f t="shared" si="4"/>
        <v>22.40892679</v>
      </c>
    </row>
    <row r="9" ht="19.5" customHeight="1">
      <c r="A9" s="9" t="s">
        <v>23</v>
      </c>
      <c r="B9" s="58">
        <v>4.0</v>
      </c>
      <c r="C9" s="61">
        <v>16.0</v>
      </c>
      <c r="D9" s="63">
        <v>7.0</v>
      </c>
      <c r="E9" s="30">
        <v>23.0</v>
      </c>
      <c r="F9" s="32">
        <v>53.0</v>
      </c>
      <c r="G9" s="33" t="s">
        <v>24</v>
      </c>
      <c r="H9" s="44">
        <f t="shared" si="1"/>
        <v>53</v>
      </c>
      <c r="I9" s="46">
        <f t="shared" si="2"/>
        <v>4</v>
      </c>
      <c r="J9" s="41">
        <f t="shared" si="3"/>
        <v>20.6</v>
      </c>
      <c r="K9" s="41">
        <f t="shared" si="4"/>
        <v>17.53396704</v>
      </c>
    </row>
    <row r="10" ht="19.5" customHeight="1">
      <c r="A10" s="9" t="s">
        <v>25</v>
      </c>
      <c r="B10" s="58">
        <v>41.0</v>
      </c>
      <c r="C10" s="61">
        <v>21.0</v>
      </c>
      <c r="D10" s="63">
        <v>33.0</v>
      </c>
      <c r="E10" s="67">
        <v>25.0</v>
      </c>
      <c r="F10" s="70">
        <v>21.0</v>
      </c>
      <c r="G10" s="33" t="s">
        <v>22</v>
      </c>
      <c r="H10" s="53">
        <f t="shared" si="1"/>
        <v>41</v>
      </c>
      <c r="I10" s="38">
        <f t="shared" si="2"/>
        <v>21</v>
      </c>
      <c r="J10" s="41">
        <f t="shared" si="3"/>
        <v>28.2</v>
      </c>
      <c r="K10" s="41">
        <f t="shared" si="4"/>
        <v>7.756287772</v>
      </c>
    </row>
    <row r="11" ht="19.5" customHeight="1">
      <c r="A11" s="9" t="s">
        <v>26</v>
      </c>
      <c r="B11" s="58">
        <v>10.0</v>
      </c>
      <c r="C11" s="61">
        <v>20.0</v>
      </c>
      <c r="D11" s="63">
        <v>8.0</v>
      </c>
      <c r="E11" s="73">
        <v>19.0</v>
      </c>
      <c r="F11" s="70">
        <v>13.0</v>
      </c>
      <c r="G11" s="33" t="s">
        <v>24</v>
      </c>
      <c r="H11" s="75">
        <f t="shared" si="1"/>
        <v>20</v>
      </c>
      <c r="I11" s="50">
        <f t="shared" si="2"/>
        <v>8</v>
      </c>
      <c r="J11" s="41">
        <f t="shared" si="3"/>
        <v>14</v>
      </c>
      <c r="K11" s="41">
        <f t="shared" si="4"/>
        <v>4.774934555</v>
      </c>
    </row>
    <row r="12" ht="19.5" customHeight="1">
      <c r="A12" s="57" t="s">
        <v>27</v>
      </c>
      <c r="B12" s="19">
        <v>344.0</v>
      </c>
      <c r="C12" s="11">
        <v>135.0</v>
      </c>
      <c r="D12" s="28">
        <v>182.0</v>
      </c>
      <c r="E12" s="30">
        <v>174.0</v>
      </c>
      <c r="F12" s="32">
        <v>56.0</v>
      </c>
      <c r="G12" s="33" t="s">
        <v>22</v>
      </c>
      <c r="H12" s="53">
        <f t="shared" si="1"/>
        <v>344</v>
      </c>
      <c r="I12" s="38">
        <f t="shared" si="2"/>
        <v>56</v>
      </c>
      <c r="J12" s="41">
        <f t="shared" si="3"/>
        <v>178.2</v>
      </c>
      <c r="K12" s="41">
        <f t="shared" si="4"/>
        <v>94.14966808</v>
      </c>
    </row>
    <row r="13" ht="19.5" customHeight="1">
      <c r="A13" s="9" t="s">
        <v>28</v>
      </c>
      <c r="B13" s="19">
        <v>68.0</v>
      </c>
      <c r="C13" s="11">
        <v>35.0</v>
      </c>
      <c r="D13" s="28">
        <v>71.0</v>
      </c>
      <c r="E13" s="30">
        <v>36.0</v>
      </c>
      <c r="F13" s="32">
        <v>11.0</v>
      </c>
      <c r="G13" s="33" t="s">
        <v>22</v>
      </c>
      <c r="H13" s="77">
        <f t="shared" si="1"/>
        <v>71</v>
      </c>
      <c r="I13" s="38">
        <f t="shared" si="2"/>
        <v>11</v>
      </c>
      <c r="J13" s="41">
        <f t="shared" si="3"/>
        <v>44.2</v>
      </c>
      <c r="K13" s="41">
        <f t="shared" si="4"/>
        <v>22.53353057</v>
      </c>
    </row>
    <row r="14" ht="19.5" customHeight="1">
      <c r="A14" s="9" t="s">
        <v>29</v>
      </c>
      <c r="B14" s="80">
        <v>353.0</v>
      </c>
      <c r="C14" s="11">
        <v>176.0</v>
      </c>
      <c r="D14" s="28">
        <v>199.0</v>
      </c>
      <c r="E14" s="30">
        <v>239.0</v>
      </c>
      <c r="F14" s="32">
        <v>71.0</v>
      </c>
      <c r="G14" s="33"/>
      <c r="H14" s="53">
        <f t="shared" si="1"/>
        <v>353</v>
      </c>
      <c r="I14" s="38">
        <f t="shared" si="2"/>
        <v>71</v>
      </c>
      <c r="J14" s="41">
        <f t="shared" si="3"/>
        <v>207.6</v>
      </c>
      <c r="K14" s="41">
        <f t="shared" si="4"/>
        <v>91.49775954</v>
      </c>
    </row>
    <row r="15" ht="19.5" customHeight="1">
      <c r="A15" s="9" t="s">
        <v>30</v>
      </c>
      <c r="B15" s="19">
        <v>42.0</v>
      </c>
      <c r="C15" s="11">
        <v>174.0</v>
      </c>
      <c r="D15" s="28">
        <v>185.0</v>
      </c>
      <c r="E15" s="30">
        <v>164.0</v>
      </c>
      <c r="F15" s="32">
        <v>151.0</v>
      </c>
      <c r="G15" s="33"/>
      <c r="H15" s="77">
        <f t="shared" si="1"/>
        <v>185</v>
      </c>
      <c r="I15" s="46">
        <f t="shared" si="2"/>
        <v>42</v>
      </c>
      <c r="J15" s="41">
        <f t="shared" si="3"/>
        <v>143.2</v>
      </c>
      <c r="K15" s="41">
        <f t="shared" si="4"/>
        <v>51.82817766</v>
      </c>
    </row>
    <row r="16" ht="19.5" customHeight="1">
      <c r="A16" s="9" t="s">
        <v>31</v>
      </c>
      <c r="B16" s="80">
        <v>83.0</v>
      </c>
      <c r="C16" s="11">
        <v>54.0</v>
      </c>
      <c r="D16" s="28">
        <v>107.0</v>
      </c>
      <c r="E16" s="30">
        <v>53.0</v>
      </c>
      <c r="F16" s="32">
        <v>18.0</v>
      </c>
      <c r="G16" s="33"/>
      <c r="H16" s="77">
        <f t="shared" si="1"/>
        <v>107</v>
      </c>
      <c r="I16" s="38">
        <f t="shared" si="2"/>
        <v>18</v>
      </c>
      <c r="J16" s="41">
        <f t="shared" si="3"/>
        <v>63</v>
      </c>
      <c r="K16" s="41">
        <f t="shared" si="4"/>
        <v>30.13967485</v>
      </c>
    </row>
    <row r="17" ht="19.5" customHeight="1">
      <c r="A17" s="9" t="s">
        <v>32</v>
      </c>
      <c r="B17" s="19">
        <v>28.0</v>
      </c>
      <c r="C17" s="11">
        <v>171.0</v>
      </c>
      <c r="D17" s="28">
        <v>142.0</v>
      </c>
      <c r="E17" s="30">
        <v>151.0</v>
      </c>
      <c r="F17" s="32">
        <v>290.0</v>
      </c>
      <c r="G17" s="33" t="s">
        <v>24</v>
      </c>
      <c r="H17" s="44">
        <f t="shared" si="1"/>
        <v>290</v>
      </c>
      <c r="I17" s="46">
        <f t="shared" si="2"/>
        <v>28</v>
      </c>
      <c r="J17" s="41">
        <f t="shared" si="3"/>
        <v>156.4</v>
      </c>
      <c r="K17" s="41">
        <f t="shared" si="4"/>
        <v>83.40887243</v>
      </c>
    </row>
    <row r="18" ht="19.5" customHeight="1">
      <c r="A18" s="57" t="s">
        <v>33</v>
      </c>
      <c r="B18" s="58">
        <v>41.0</v>
      </c>
      <c r="C18" s="11">
        <v>43.0</v>
      </c>
      <c r="D18" s="63">
        <v>44.0</v>
      </c>
      <c r="E18" s="30">
        <v>19.0</v>
      </c>
      <c r="F18" s="32">
        <v>30.0</v>
      </c>
      <c r="G18" s="33" t="s">
        <v>22</v>
      </c>
      <c r="H18" s="77">
        <f t="shared" si="1"/>
        <v>44</v>
      </c>
      <c r="I18" s="85">
        <f t="shared" si="2"/>
        <v>19</v>
      </c>
      <c r="J18" s="41">
        <f t="shared" si="3"/>
        <v>35.4</v>
      </c>
      <c r="K18" s="41">
        <f t="shared" si="4"/>
        <v>9.604165763</v>
      </c>
    </row>
    <row r="19" ht="19.5" customHeight="1">
      <c r="A19" s="9" t="s">
        <v>35</v>
      </c>
      <c r="B19" s="58">
        <v>49.0</v>
      </c>
      <c r="C19" s="11">
        <v>30.0</v>
      </c>
      <c r="D19" s="63">
        <v>62.0</v>
      </c>
      <c r="E19" s="30">
        <v>35.0</v>
      </c>
      <c r="F19" s="32">
        <v>30.0</v>
      </c>
      <c r="G19" s="33" t="s">
        <v>24</v>
      </c>
      <c r="H19" s="77">
        <f t="shared" si="1"/>
        <v>62</v>
      </c>
      <c r="I19" s="89">
        <f t="shared" si="2"/>
        <v>30</v>
      </c>
      <c r="J19" s="41">
        <f t="shared" si="3"/>
        <v>41.2</v>
      </c>
      <c r="K19" s="41">
        <f t="shared" si="4"/>
        <v>12.51239386</v>
      </c>
    </row>
    <row r="20" ht="19.5" customHeight="1">
      <c r="A20" s="57" t="s">
        <v>36</v>
      </c>
      <c r="B20" s="19">
        <v>163.0</v>
      </c>
      <c r="C20" s="11">
        <v>50.0</v>
      </c>
      <c r="D20" s="28">
        <v>125.0</v>
      </c>
      <c r="E20" s="30">
        <v>120.0</v>
      </c>
      <c r="F20" s="32">
        <v>17.0</v>
      </c>
      <c r="G20" s="33"/>
      <c r="H20" s="53">
        <f t="shared" si="1"/>
        <v>163</v>
      </c>
      <c r="I20" s="38">
        <f t="shared" si="2"/>
        <v>17</v>
      </c>
      <c r="J20" s="41">
        <f t="shared" si="3"/>
        <v>95</v>
      </c>
      <c r="K20" s="41">
        <f t="shared" si="4"/>
        <v>53.40037453</v>
      </c>
    </row>
    <row r="21" ht="19.5" customHeight="1">
      <c r="A21" s="92" t="s">
        <v>38</v>
      </c>
      <c r="B21" s="94">
        <v>9.0</v>
      </c>
      <c r="C21" s="96">
        <v>43.0</v>
      </c>
      <c r="D21" s="98">
        <v>67.0</v>
      </c>
      <c r="E21" s="104">
        <v>60.0</v>
      </c>
      <c r="F21" s="106">
        <v>35.0</v>
      </c>
      <c r="G21" s="33"/>
      <c r="H21" s="77">
        <f t="shared" si="1"/>
        <v>67</v>
      </c>
      <c r="I21" s="46">
        <f t="shared" si="2"/>
        <v>9</v>
      </c>
      <c r="J21" s="41">
        <f t="shared" si="3"/>
        <v>42.8</v>
      </c>
      <c r="K21" s="41">
        <f t="shared" si="4"/>
        <v>20.41959843</v>
      </c>
    </row>
    <row r="22" ht="19.5" customHeight="1">
      <c r="A22" s="113" t="s">
        <v>44</v>
      </c>
      <c r="B22" s="115"/>
      <c r="C22" s="116"/>
      <c r="D22" s="122"/>
      <c r="E22" s="123"/>
      <c r="F22" s="125"/>
      <c r="G22" s="33"/>
      <c r="H22" s="126">
        <f t="shared" si="1"/>
        <v>0</v>
      </c>
      <c r="I22" s="128">
        <f t="shared" si="2"/>
        <v>0</v>
      </c>
      <c r="J22" s="41" t="str">
        <f t="shared" si="3"/>
        <v>#DIV/0!</v>
      </c>
      <c r="K22" s="41" t="str">
        <f t="shared" si="4"/>
        <v>#DIV/0!</v>
      </c>
    </row>
    <row r="23" ht="19.5" customHeight="1">
      <c r="A23" s="130"/>
      <c r="B23" s="46"/>
      <c r="C23" s="89"/>
      <c r="D23" s="50"/>
      <c r="E23" s="85"/>
      <c r="F23" s="38"/>
      <c r="G23" s="33"/>
      <c r="H23" s="126"/>
      <c r="I23" s="128"/>
      <c r="J23" s="41"/>
      <c r="K23" s="41"/>
    </row>
    <row r="24" ht="19.5" customHeight="1">
      <c r="A24" s="132" t="s">
        <v>51</v>
      </c>
      <c r="B24" s="135">
        <f>'OD 0825'!D14</f>
        <v>591.1912073</v>
      </c>
      <c r="C24" s="139">
        <f>'OD 1125'!D14</f>
        <v>485.5662033</v>
      </c>
      <c r="D24" s="141">
        <f>'OD 1200'!D14</f>
        <v>566.7289705</v>
      </c>
      <c r="E24" s="143">
        <f>'OD 1500'!D14</f>
        <v>519.1718332</v>
      </c>
      <c r="F24" s="145">
        <f>'OD 1800'!D14</f>
        <v>468.0427743</v>
      </c>
      <c r="G24" s="33"/>
      <c r="H24" s="147">
        <f t="shared" ref="H24:H28" si="5">MAX(B24:F24)</f>
        <v>591.1912073</v>
      </c>
      <c r="I24" s="149">
        <f t="shared" ref="I24:I28" si="6">MIN(B24:F24)</f>
        <v>468.0427743</v>
      </c>
      <c r="J24" s="41">
        <f t="shared" ref="J24:J28" si="7">AVERAGE(B24:F24)</f>
        <v>526.1401977</v>
      </c>
      <c r="K24" s="41">
        <f t="shared" ref="K24:K28" si="8">STDEVP(B24:F24)</f>
        <v>46.79572644</v>
      </c>
    </row>
    <row r="25" ht="19.5" customHeight="1">
      <c r="A25" s="130" t="s">
        <v>40</v>
      </c>
      <c r="B25" s="151"/>
      <c r="C25" s="153"/>
      <c r="D25" s="154"/>
      <c r="E25" s="156"/>
      <c r="F25" s="158"/>
      <c r="G25" s="160"/>
      <c r="H25" s="162">
        <f t="shared" si="5"/>
        <v>0</v>
      </c>
      <c r="I25" s="164">
        <f t="shared" si="6"/>
        <v>0</v>
      </c>
      <c r="J25" s="164" t="str">
        <f t="shared" si="7"/>
        <v>#DIV/0!</v>
      </c>
      <c r="K25" s="164" t="str">
        <f t="shared" si="8"/>
        <v>#DIV/0!</v>
      </c>
    </row>
    <row r="26" ht="19.5" customHeight="1">
      <c r="A26" s="130" t="s">
        <v>42</v>
      </c>
      <c r="B26" s="151"/>
      <c r="C26" s="153"/>
      <c r="D26" s="154"/>
      <c r="E26" s="156"/>
      <c r="F26" s="158"/>
      <c r="G26" s="160"/>
      <c r="H26" s="162">
        <f t="shared" si="5"/>
        <v>0</v>
      </c>
      <c r="I26" s="164">
        <f t="shared" si="6"/>
        <v>0</v>
      </c>
      <c r="J26" s="164" t="str">
        <f t="shared" si="7"/>
        <v>#DIV/0!</v>
      </c>
      <c r="K26" s="164" t="str">
        <f t="shared" si="8"/>
        <v>#DIV/0!</v>
      </c>
    </row>
    <row r="27" ht="19.5" customHeight="1">
      <c r="A27" s="130" t="s">
        <v>45</v>
      </c>
      <c r="B27" s="151"/>
      <c r="C27" s="153"/>
      <c r="D27" s="154"/>
      <c r="E27" s="156"/>
      <c r="F27" s="158"/>
      <c r="G27" s="160"/>
      <c r="H27" s="162">
        <f t="shared" si="5"/>
        <v>0</v>
      </c>
      <c r="I27" s="164">
        <f t="shared" si="6"/>
        <v>0</v>
      </c>
      <c r="J27" s="164" t="str">
        <f t="shared" si="7"/>
        <v>#DIV/0!</v>
      </c>
      <c r="K27" s="164" t="str">
        <f t="shared" si="8"/>
        <v>#DIV/0!</v>
      </c>
    </row>
    <row r="28" ht="19.5" customHeight="1">
      <c r="A28" s="130" t="s">
        <v>47</v>
      </c>
      <c r="B28" s="46"/>
      <c r="C28" s="89"/>
      <c r="D28" s="50"/>
      <c r="E28" s="85"/>
      <c r="F28" s="38"/>
      <c r="G28" s="33"/>
      <c r="H28" s="126">
        <f t="shared" si="5"/>
        <v>0</v>
      </c>
      <c r="I28" s="128">
        <f t="shared" si="6"/>
        <v>0</v>
      </c>
      <c r="J28" s="41" t="str">
        <f t="shared" si="7"/>
        <v>#DIV/0!</v>
      </c>
      <c r="K28" s="41" t="str">
        <f t="shared" si="8"/>
        <v>#DIV/0!</v>
      </c>
    </row>
    <row r="29" ht="19.5" customHeight="1">
      <c r="B29" s="167"/>
      <c r="C29" s="138"/>
      <c r="D29" s="168"/>
      <c r="E29" s="171"/>
      <c r="F29" s="173"/>
      <c r="G29" s="129"/>
      <c r="H29" s="129"/>
      <c r="I29" s="129"/>
      <c r="J29" s="175"/>
      <c r="K29" s="175"/>
    </row>
    <row r="30" ht="19.5" customHeight="1">
      <c r="B30" s="167"/>
      <c r="C30" s="138"/>
      <c r="D30" s="168"/>
      <c r="E30" s="171"/>
      <c r="F30" s="173"/>
      <c r="G30" s="129"/>
      <c r="H30" s="175" t="s">
        <v>12</v>
      </c>
      <c r="I30" s="175" t="s">
        <v>13</v>
      </c>
      <c r="J30" s="175" t="s">
        <v>14</v>
      </c>
      <c r="K30" s="175" t="s">
        <v>15</v>
      </c>
    </row>
    <row r="31" ht="19.5" customHeight="1">
      <c r="A31" s="130" t="s">
        <v>37</v>
      </c>
      <c r="B31" s="151">
        <f>'OD 0825'!I14</f>
        <v>0.01676300056</v>
      </c>
      <c r="C31" s="153">
        <f>'OD 1125'!I14</f>
        <v>0.08896591526</v>
      </c>
      <c r="D31" s="154">
        <f>'OD 1200'!I14</f>
        <v>0.04626682814</v>
      </c>
      <c r="E31" s="156">
        <f>'OD 1500'!I14</f>
        <v>0.1406704553</v>
      </c>
      <c r="F31" s="158">
        <f>'OD 1800'!I14</f>
        <v>0.03827719758</v>
      </c>
      <c r="G31" s="33"/>
      <c r="H31" s="178">
        <f t="shared" ref="H31:H37" si="9">MAX(B31:F31)</f>
        <v>0.1406704553</v>
      </c>
      <c r="I31" s="151">
        <f t="shared" ref="I31:I37" si="10">MIN(B31:F31)</f>
        <v>0.01676300056</v>
      </c>
      <c r="J31" s="41">
        <f t="shared" ref="J31:J37" si="11">AVERAGE(B31:F31)</f>
        <v>0.06618867936</v>
      </c>
      <c r="K31" s="41">
        <f t="shared" ref="K31:K37" si="12">STDEVP(B31:F31)</f>
        <v>0.04401173961</v>
      </c>
    </row>
    <row r="32" ht="19.5" customHeight="1">
      <c r="A32" s="130" t="s">
        <v>39</v>
      </c>
      <c r="B32" s="151">
        <f>'OD 0825'!I15</f>
        <v>0.1381487804</v>
      </c>
      <c r="C32" s="153">
        <f>'OD 1125'!I15</f>
        <v>0.1219490765</v>
      </c>
      <c r="D32" s="154">
        <f>'OD 1200'!I15</f>
        <v>0.1098072989</v>
      </c>
      <c r="E32" s="156">
        <f>'OD 1500'!I15</f>
        <v>0.08435876906</v>
      </c>
      <c r="F32" s="158">
        <f>'OD 1800'!I15</f>
        <v>0.1393379626</v>
      </c>
      <c r="G32" s="33"/>
      <c r="H32" s="101">
        <f t="shared" si="9"/>
        <v>0.1393379626</v>
      </c>
      <c r="I32" s="156">
        <f t="shared" si="10"/>
        <v>0.08435876906</v>
      </c>
      <c r="J32" s="41">
        <f t="shared" si="11"/>
        <v>0.1187203775</v>
      </c>
      <c r="K32" s="41">
        <f t="shared" si="12"/>
        <v>0.02036239305</v>
      </c>
    </row>
    <row r="33" ht="19.5" customHeight="1">
      <c r="A33" s="130" t="s">
        <v>41</v>
      </c>
      <c r="B33" s="151">
        <f>'OD 0825'!I16</f>
        <v>0.1549117809</v>
      </c>
      <c r="C33" s="153">
        <f>'OD 1125'!I16</f>
        <v>0.2109149917</v>
      </c>
      <c r="D33" s="154">
        <f>'OD 1200'!I16</f>
        <v>0.156074127</v>
      </c>
      <c r="E33" s="156">
        <f>'OD 1500'!I16</f>
        <v>0.2250292243</v>
      </c>
      <c r="F33" s="158">
        <f>'OD 1800'!I16</f>
        <v>0.1776151601</v>
      </c>
      <c r="G33" s="33"/>
      <c r="H33" s="178">
        <f t="shared" si="9"/>
        <v>0.2250292243</v>
      </c>
      <c r="I33" s="151">
        <f t="shared" si="10"/>
        <v>0.1549117809</v>
      </c>
      <c r="J33" s="41">
        <f t="shared" si="11"/>
        <v>0.1849090568</v>
      </c>
      <c r="K33" s="41">
        <f t="shared" si="12"/>
        <v>0.02853218239</v>
      </c>
    </row>
    <row r="34" ht="19.5" customHeight="1">
      <c r="A34" s="130" t="s">
        <v>43</v>
      </c>
      <c r="B34" s="151">
        <f>'OD 0825'!I17</f>
        <v>0.8124742888</v>
      </c>
      <c r="C34" s="153">
        <f>'OD 1125'!I17</f>
        <v>0.4052704834</v>
      </c>
      <c r="D34" s="154">
        <f>'OD 1200'!I17</f>
        <v>0.5554136791</v>
      </c>
      <c r="E34" s="156">
        <f>'OD 1500'!I17</f>
        <v>0.4299218273</v>
      </c>
      <c r="F34" s="158">
        <f>'OD 1800'!I17</f>
        <v>0.1320047586</v>
      </c>
      <c r="G34" s="33"/>
      <c r="H34" s="101">
        <f t="shared" si="9"/>
        <v>0.8124742888</v>
      </c>
      <c r="I34" s="158">
        <f t="shared" si="10"/>
        <v>0.1320047586</v>
      </c>
      <c r="J34" s="41">
        <f t="shared" si="11"/>
        <v>0.4670170074</v>
      </c>
      <c r="K34" s="41">
        <f t="shared" si="12"/>
        <v>0.2211680797</v>
      </c>
    </row>
    <row r="35" ht="19.5" customHeight="1">
      <c r="A35" s="130" t="s">
        <v>46</v>
      </c>
      <c r="B35" s="151">
        <f>'OD 0825'!I18</f>
        <v>0.03261393024</v>
      </c>
      <c r="C35" s="153">
        <f>'OD 1125'!I18</f>
        <v>0.3838145249</v>
      </c>
      <c r="D35" s="154">
        <f>'OD 1200'!I18</f>
        <v>0.2885121939</v>
      </c>
      <c r="E35" s="156">
        <f>'OD 1500'!I18</f>
        <v>0.3450489484</v>
      </c>
      <c r="F35" s="158">
        <f>'OD 1800'!I18</f>
        <v>0.6903800812</v>
      </c>
      <c r="G35" s="33"/>
      <c r="H35" s="186">
        <f t="shared" si="9"/>
        <v>0.6903800812</v>
      </c>
      <c r="I35" s="151">
        <f t="shared" si="10"/>
        <v>0.03261393024</v>
      </c>
      <c r="J35" s="41">
        <f t="shared" si="11"/>
        <v>0.3480739357</v>
      </c>
      <c r="K35" s="41">
        <f t="shared" si="12"/>
        <v>0.2104864146</v>
      </c>
    </row>
    <row r="36" ht="19.5" customHeight="1">
      <c r="A36" s="130" t="s">
        <v>48</v>
      </c>
      <c r="B36" s="151">
        <f>'OD 0825'!I19</f>
        <v>0.8450882191</v>
      </c>
      <c r="C36" s="153">
        <f>'OD 1125'!I19</f>
        <v>0.7890850083</v>
      </c>
      <c r="D36" s="154">
        <f>'OD 1200'!I19</f>
        <v>0.843925873</v>
      </c>
      <c r="E36" s="156">
        <f>'OD 1500'!I19</f>
        <v>0.7749707757</v>
      </c>
      <c r="F36" s="158">
        <f>'OD 1800'!I19</f>
        <v>0.8223848399</v>
      </c>
      <c r="G36" s="33"/>
      <c r="H36" s="101">
        <f t="shared" si="9"/>
        <v>0.8450882191</v>
      </c>
      <c r="I36" s="156">
        <f t="shared" si="10"/>
        <v>0.7749707757</v>
      </c>
      <c r="J36" s="41">
        <f t="shared" si="11"/>
        <v>0.8150909432</v>
      </c>
      <c r="K36" s="41">
        <f t="shared" si="12"/>
        <v>0.02853218239</v>
      </c>
    </row>
    <row r="37" ht="19.5" customHeight="1">
      <c r="A37" s="130" t="s">
        <v>50</v>
      </c>
      <c r="B37" s="189">
        <f>'OD 0825'!I20</f>
        <v>461.0465869</v>
      </c>
      <c r="C37" s="191">
        <f>'OD 1125'!I20</f>
        <v>10.41828829</v>
      </c>
      <c r="D37" s="192">
        <f>'OD 1200'!I20</f>
        <v>151.2608039</v>
      </c>
      <c r="E37" s="193">
        <f>'OD 1500'!I20</f>
        <v>44.06360813</v>
      </c>
      <c r="F37" s="149">
        <f>'OD 1800'!I20</f>
        <v>-261.3435351</v>
      </c>
      <c r="G37" s="33"/>
      <c r="H37" s="147">
        <f t="shared" si="9"/>
        <v>461.0465869</v>
      </c>
      <c r="I37" s="149">
        <f t="shared" si="10"/>
        <v>-261.3435351</v>
      </c>
      <c r="J37" s="41">
        <f t="shared" si="11"/>
        <v>81.08915044</v>
      </c>
      <c r="K37" s="41">
        <f t="shared" si="12"/>
        <v>233.6309569</v>
      </c>
    </row>
    <row r="38" ht="19.5" customHeight="1">
      <c r="B38" s="167"/>
      <c r="C38" s="138"/>
      <c r="D38" s="168"/>
      <c r="E38" s="171"/>
      <c r="F38" s="173"/>
      <c r="G38" s="129"/>
      <c r="H38" s="129"/>
      <c r="I38" s="129"/>
      <c r="J38" s="175"/>
      <c r="K38" s="175"/>
    </row>
    <row r="39" ht="19.5" customHeight="1">
      <c r="B39" s="167"/>
      <c r="C39" s="138"/>
      <c r="D39" s="168"/>
      <c r="E39" s="171"/>
      <c r="F39" s="173"/>
      <c r="G39" s="129"/>
      <c r="H39" s="175" t="s">
        <v>12</v>
      </c>
      <c r="I39" s="175" t="s">
        <v>13</v>
      </c>
      <c r="J39" s="175" t="s">
        <v>14</v>
      </c>
      <c r="K39" s="175" t="s">
        <v>15</v>
      </c>
    </row>
    <row r="40" ht="19.5" customHeight="1">
      <c r="A40" s="130" t="s">
        <v>54</v>
      </c>
      <c r="B40" s="19">
        <f t="shared" ref="B40:F40" si="13">B2+B3</f>
        <v>242</v>
      </c>
      <c r="C40" s="89">
        <f t="shared" si="13"/>
        <v>270</v>
      </c>
      <c r="D40" s="50">
        <f t="shared" si="13"/>
        <v>239</v>
      </c>
      <c r="E40" s="85">
        <f t="shared" si="13"/>
        <v>340</v>
      </c>
      <c r="F40" s="38">
        <f t="shared" si="13"/>
        <v>208</v>
      </c>
      <c r="G40" s="33"/>
      <c r="H40" s="35">
        <f t="shared" ref="H40:H48" si="15">MAX(B40:F40)</f>
        <v>340</v>
      </c>
      <c r="I40" s="38">
        <f t="shared" ref="I40:I48" si="16">MIN(B40:F40)</f>
        <v>208</v>
      </c>
      <c r="J40" s="41">
        <f t="shared" ref="J40:J48" si="17">AVERAGE(B40:F40)</f>
        <v>259.8</v>
      </c>
      <c r="K40" s="41">
        <f t="shared" ref="K40:K48" si="18">STDEVP(B40:F40)</f>
        <v>44.65153973</v>
      </c>
    </row>
    <row r="41" ht="19.5" customHeight="1">
      <c r="A41" s="130" t="s">
        <v>55</v>
      </c>
      <c r="B41" s="19">
        <f t="shared" ref="B41:F41" si="14">B4+B5</f>
        <v>52</v>
      </c>
      <c r="C41" s="89">
        <f t="shared" si="14"/>
        <v>113</v>
      </c>
      <c r="D41" s="50">
        <f t="shared" si="14"/>
        <v>72</v>
      </c>
      <c r="E41" s="85">
        <f t="shared" si="14"/>
        <v>152</v>
      </c>
      <c r="F41" s="38">
        <f t="shared" si="14"/>
        <v>108</v>
      </c>
      <c r="G41" s="33"/>
      <c r="H41" s="35">
        <f t="shared" si="15"/>
        <v>152</v>
      </c>
      <c r="I41" s="46">
        <f t="shared" si="16"/>
        <v>52</v>
      </c>
      <c r="J41" s="41">
        <f t="shared" si="17"/>
        <v>99.4</v>
      </c>
      <c r="K41" s="41">
        <f t="shared" si="18"/>
        <v>34.70792417</v>
      </c>
    </row>
    <row r="42" ht="19.5" customHeight="1">
      <c r="A42" s="130" t="s">
        <v>56</v>
      </c>
      <c r="B42" s="19">
        <f t="shared" ref="B42:F42" si="19">B6+B7</f>
        <v>121</v>
      </c>
      <c r="C42" s="89">
        <f t="shared" si="19"/>
        <v>77</v>
      </c>
      <c r="D42" s="50">
        <f t="shared" si="19"/>
        <v>74</v>
      </c>
      <c r="E42" s="85">
        <f t="shared" si="19"/>
        <v>93</v>
      </c>
      <c r="F42" s="38">
        <f t="shared" si="19"/>
        <v>86</v>
      </c>
      <c r="G42" s="33"/>
      <c r="H42" s="53">
        <f t="shared" si="15"/>
        <v>121</v>
      </c>
      <c r="I42" s="50">
        <f t="shared" si="16"/>
        <v>74</v>
      </c>
      <c r="J42" s="41">
        <f t="shared" si="17"/>
        <v>90.2</v>
      </c>
      <c r="K42" s="41">
        <f t="shared" si="18"/>
        <v>16.79761888</v>
      </c>
    </row>
    <row r="43" ht="19.5" customHeight="1">
      <c r="A43" s="130" t="s">
        <v>57</v>
      </c>
      <c r="B43" s="19">
        <f t="shared" ref="B43:F43" si="20">B8+B9</f>
        <v>72</v>
      </c>
      <c r="C43" s="89">
        <f t="shared" si="20"/>
        <v>38</v>
      </c>
      <c r="D43" s="50">
        <f t="shared" si="20"/>
        <v>54</v>
      </c>
      <c r="E43" s="85">
        <f t="shared" si="20"/>
        <v>36</v>
      </c>
      <c r="F43" s="38">
        <f t="shared" si="20"/>
        <v>62</v>
      </c>
      <c r="G43" s="33"/>
      <c r="H43" s="53">
        <f t="shared" si="15"/>
        <v>72</v>
      </c>
      <c r="I43" s="85">
        <f t="shared" si="16"/>
        <v>36</v>
      </c>
      <c r="J43" s="41">
        <f t="shared" si="17"/>
        <v>52.4</v>
      </c>
      <c r="K43" s="41">
        <f t="shared" si="18"/>
        <v>13.82172203</v>
      </c>
    </row>
    <row r="44" ht="19.5" customHeight="1">
      <c r="A44" s="130" t="s">
        <v>58</v>
      </c>
      <c r="B44" s="19">
        <f t="shared" ref="B44:F44" si="21">B10+B11</f>
        <v>51</v>
      </c>
      <c r="C44" s="89">
        <f t="shared" si="21"/>
        <v>41</v>
      </c>
      <c r="D44" s="50">
        <f t="shared" si="21"/>
        <v>41</v>
      </c>
      <c r="E44" s="85">
        <f t="shared" si="21"/>
        <v>44</v>
      </c>
      <c r="F44" s="38">
        <f t="shared" si="21"/>
        <v>34</v>
      </c>
      <c r="G44" s="33"/>
      <c r="H44" s="53">
        <f t="shared" si="15"/>
        <v>51</v>
      </c>
      <c r="I44" s="38">
        <f t="shared" si="16"/>
        <v>34</v>
      </c>
      <c r="J44" s="41">
        <f t="shared" si="17"/>
        <v>42.2</v>
      </c>
      <c r="K44" s="41">
        <f t="shared" si="18"/>
        <v>5.491812087</v>
      </c>
    </row>
    <row r="45" ht="19.5" customHeight="1">
      <c r="A45" s="130" t="s">
        <v>59</v>
      </c>
      <c r="B45" s="19">
        <f t="shared" ref="B45:F45" si="22">B18+B19</f>
        <v>90</v>
      </c>
      <c r="C45" s="89">
        <f t="shared" si="22"/>
        <v>73</v>
      </c>
      <c r="D45" s="50">
        <f t="shared" si="22"/>
        <v>106</v>
      </c>
      <c r="E45" s="85">
        <f t="shared" si="22"/>
        <v>54</v>
      </c>
      <c r="F45" s="38">
        <f t="shared" si="22"/>
        <v>60</v>
      </c>
      <c r="G45" s="33"/>
      <c r="H45" s="77">
        <f t="shared" si="15"/>
        <v>106</v>
      </c>
      <c r="I45" s="85">
        <f t="shared" si="16"/>
        <v>54</v>
      </c>
      <c r="J45" s="41">
        <f t="shared" si="17"/>
        <v>76.6</v>
      </c>
      <c r="K45" s="41">
        <f t="shared" si="18"/>
        <v>19.2</v>
      </c>
    </row>
    <row r="46" ht="19.5" customHeight="1">
      <c r="A46" s="130" t="s">
        <v>60</v>
      </c>
      <c r="B46" s="19">
        <f t="shared" ref="B46:F46" si="23">B14+B15</f>
        <v>395</v>
      </c>
      <c r="C46" s="89">
        <f t="shared" si="23"/>
        <v>350</v>
      </c>
      <c r="D46" s="50">
        <f t="shared" si="23"/>
        <v>384</v>
      </c>
      <c r="E46" s="85">
        <f t="shared" si="23"/>
        <v>403</v>
      </c>
      <c r="F46" s="38">
        <f t="shared" si="23"/>
        <v>222</v>
      </c>
      <c r="G46" s="33"/>
      <c r="H46" s="35">
        <f t="shared" si="15"/>
        <v>403</v>
      </c>
      <c r="I46" s="38">
        <f t="shared" si="16"/>
        <v>222</v>
      </c>
      <c r="J46" s="41">
        <f t="shared" si="17"/>
        <v>350.8</v>
      </c>
      <c r="K46" s="41">
        <f t="shared" si="18"/>
        <v>66.88916205</v>
      </c>
    </row>
    <row r="47" ht="19.5" customHeight="1">
      <c r="A47" s="130" t="s">
        <v>61</v>
      </c>
      <c r="B47" s="19">
        <f t="shared" ref="B47:F47" si="24">B12+B13+B17</f>
        <v>440</v>
      </c>
      <c r="C47" s="89">
        <f t="shared" si="24"/>
        <v>341</v>
      </c>
      <c r="D47" s="50">
        <f t="shared" si="24"/>
        <v>395</v>
      </c>
      <c r="E47" s="85">
        <f t="shared" si="24"/>
        <v>361</v>
      </c>
      <c r="F47" s="38">
        <f t="shared" si="24"/>
        <v>357</v>
      </c>
      <c r="G47" s="33"/>
      <c r="H47" s="53">
        <f t="shared" si="15"/>
        <v>440</v>
      </c>
      <c r="I47" s="89">
        <f t="shared" si="16"/>
        <v>341</v>
      </c>
      <c r="J47" s="41">
        <f t="shared" si="17"/>
        <v>378.8</v>
      </c>
      <c r="K47" s="41">
        <f t="shared" si="18"/>
        <v>35.29532547</v>
      </c>
    </row>
    <row r="48" ht="19.5" customHeight="1">
      <c r="A48" s="130" t="s">
        <v>62</v>
      </c>
      <c r="B48" s="19">
        <f t="shared" ref="B48:F48" si="25">B20+B21</f>
        <v>172</v>
      </c>
      <c r="C48" s="89">
        <f t="shared" si="25"/>
        <v>93</v>
      </c>
      <c r="D48" s="50">
        <f t="shared" si="25"/>
        <v>192</v>
      </c>
      <c r="E48" s="85">
        <f t="shared" si="25"/>
        <v>180</v>
      </c>
      <c r="F48" s="38">
        <f t="shared" si="25"/>
        <v>52</v>
      </c>
      <c r="G48" s="33"/>
      <c r="H48" s="77">
        <f t="shared" si="15"/>
        <v>192</v>
      </c>
      <c r="I48" s="38">
        <f t="shared" si="16"/>
        <v>52</v>
      </c>
      <c r="J48" s="41">
        <f t="shared" si="17"/>
        <v>137.8</v>
      </c>
      <c r="K48" s="41">
        <f t="shared" si="18"/>
        <v>55.23911658</v>
      </c>
    </row>
    <row r="49" ht="19.5" customHeight="1">
      <c r="B49" s="194"/>
      <c r="C49" s="190"/>
      <c r="D49" s="195"/>
      <c r="E49" s="196"/>
      <c r="F49" s="197"/>
      <c r="H49" s="198"/>
      <c r="I49" s="198"/>
    </row>
    <row r="50" ht="19.5" customHeight="1">
      <c r="B50" s="194"/>
      <c r="C50" s="190"/>
      <c r="D50" s="195"/>
      <c r="E50" s="196"/>
      <c r="F50" s="197"/>
      <c r="H50" s="198"/>
      <c r="I50" s="198"/>
    </row>
    <row r="51" ht="19.5" customHeight="1">
      <c r="A51" s="200" t="s">
        <v>61</v>
      </c>
      <c r="B51" s="201">
        <f t="shared" ref="B51:F51" si="26">B12+B13+B17</f>
        <v>440</v>
      </c>
      <c r="C51" s="201">
        <f t="shared" si="26"/>
        <v>341</v>
      </c>
      <c r="D51" s="201">
        <f t="shared" si="26"/>
        <v>395</v>
      </c>
      <c r="E51" s="201">
        <f t="shared" si="26"/>
        <v>361</v>
      </c>
      <c r="F51" s="201">
        <f t="shared" si="26"/>
        <v>357</v>
      </c>
      <c r="G51" s="202"/>
      <c r="H51" s="202">
        <f t="shared" ref="H51:H52" si="28">sum(B51:F51)</f>
        <v>1894</v>
      </c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</row>
    <row r="52" ht="19.5" customHeight="1">
      <c r="A52" s="203" t="s">
        <v>63</v>
      </c>
      <c r="B52" s="204">
        <f t="shared" ref="B52:F52" si="27">B17</f>
        <v>28</v>
      </c>
      <c r="C52" s="204">
        <f t="shared" si="27"/>
        <v>171</v>
      </c>
      <c r="D52" s="204">
        <f t="shared" si="27"/>
        <v>142</v>
      </c>
      <c r="E52" s="204">
        <f t="shared" si="27"/>
        <v>151</v>
      </c>
      <c r="F52" s="204">
        <f t="shared" si="27"/>
        <v>290</v>
      </c>
      <c r="G52" s="202"/>
      <c r="H52" s="202">
        <f t="shared" si="28"/>
        <v>782</v>
      </c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</row>
    <row r="53" ht="19.5" customHeight="1">
      <c r="A53" s="205" t="s">
        <v>64</v>
      </c>
      <c r="B53" s="206">
        <f t="shared" ref="B53:F53" si="29">B52/B51</f>
        <v>0.06363636364</v>
      </c>
      <c r="C53" s="206">
        <f t="shared" si="29"/>
        <v>0.5014662757</v>
      </c>
      <c r="D53" s="206">
        <f t="shared" si="29"/>
        <v>0.3594936709</v>
      </c>
      <c r="E53" s="206">
        <f t="shared" si="29"/>
        <v>0.4182825485</v>
      </c>
      <c r="F53" s="206">
        <f t="shared" si="29"/>
        <v>0.81232493</v>
      </c>
      <c r="G53" s="206"/>
      <c r="H53" s="206">
        <f>H52/H51</f>
        <v>0.4128827878</v>
      </c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</row>
    <row r="54" ht="19.5" customHeight="1">
      <c r="A54" s="203" t="s">
        <v>65</v>
      </c>
      <c r="B54" s="204">
        <f t="shared" ref="B54:F54" si="30">B12+B13</f>
        <v>412</v>
      </c>
      <c r="C54" s="204">
        <f t="shared" si="30"/>
        <v>170</v>
      </c>
      <c r="D54" s="204">
        <f t="shared" si="30"/>
        <v>253</v>
      </c>
      <c r="E54" s="204">
        <f t="shared" si="30"/>
        <v>210</v>
      </c>
      <c r="F54" s="204">
        <f t="shared" si="30"/>
        <v>67</v>
      </c>
      <c r="G54" s="202"/>
      <c r="H54" s="202">
        <f>sum(B54:F54)</f>
        <v>1112</v>
      </c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</row>
    <row r="55" ht="19.5" customHeight="1">
      <c r="A55" s="205" t="s">
        <v>64</v>
      </c>
      <c r="B55" s="206">
        <f t="shared" ref="B55:F55" si="31">B54/B51</f>
        <v>0.9363636364</v>
      </c>
      <c r="C55" s="206">
        <f t="shared" si="31"/>
        <v>0.4985337243</v>
      </c>
      <c r="D55" s="206">
        <f t="shared" si="31"/>
        <v>0.6405063291</v>
      </c>
      <c r="E55" s="206">
        <f t="shared" si="31"/>
        <v>0.5817174515</v>
      </c>
      <c r="F55" s="206">
        <f t="shared" si="31"/>
        <v>0.18767507</v>
      </c>
      <c r="G55" s="206"/>
      <c r="H55" s="206">
        <f>H54/H51</f>
        <v>0.5871172122</v>
      </c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</row>
    <row r="56" ht="19.5" customHeight="1">
      <c r="B56" s="194"/>
      <c r="C56" s="190"/>
      <c r="D56" s="195"/>
      <c r="E56" s="196"/>
      <c r="F56" s="197"/>
      <c r="H56" s="198"/>
      <c r="I56" s="198"/>
    </row>
    <row r="57" ht="19.5" customHeight="1">
      <c r="B57" s="194"/>
      <c r="C57" s="190"/>
      <c r="D57" s="195"/>
      <c r="E57" s="196"/>
      <c r="F57" s="197"/>
      <c r="H57" s="198"/>
      <c r="I57" s="198"/>
    </row>
    <row r="58" ht="19.5" customHeight="1">
      <c r="B58" s="194"/>
      <c r="C58" s="190"/>
      <c r="D58" s="195"/>
      <c r="E58" s="196"/>
      <c r="F58" s="197"/>
      <c r="H58" s="198"/>
      <c r="I58" s="198"/>
    </row>
    <row r="59" ht="19.5" customHeight="1">
      <c r="B59" s="194"/>
      <c r="C59" s="190"/>
      <c r="D59" s="195"/>
      <c r="E59" s="196"/>
      <c r="F59" s="197"/>
      <c r="H59" s="198"/>
      <c r="I59" s="198"/>
    </row>
    <row r="60" ht="19.5" customHeight="1">
      <c r="B60" s="194"/>
      <c r="C60" s="190"/>
      <c r="D60" s="195"/>
      <c r="E60" s="196"/>
      <c r="F60" s="197"/>
      <c r="H60" s="198"/>
      <c r="I60" s="198"/>
    </row>
    <row r="61" ht="19.5" customHeight="1">
      <c r="B61" s="194"/>
      <c r="C61" s="190"/>
      <c r="D61" s="195"/>
      <c r="E61" s="196"/>
      <c r="F61" s="197"/>
      <c r="H61" s="198"/>
      <c r="I61" s="198"/>
    </row>
    <row r="62" ht="19.5" customHeight="1">
      <c r="B62" s="194"/>
      <c r="C62" s="190"/>
      <c r="D62" s="195"/>
      <c r="E62" s="196"/>
      <c r="F62" s="197"/>
      <c r="H62" s="198"/>
      <c r="I62" s="198"/>
    </row>
    <row r="63" ht="19.5" customHeight="1">
      <c r="B63" s="194"/>
      <c r="C63" s="190"/>
      <c r="D63" s="195"/>
      <c r="E63" s="196"/>
      <c r="F63" s="197"/>
      <c r="H63" s="198"/>
      <c r="I63" s="198"/>
    </row>
    <row r="64" ht="19.5" customHeight="1">
      <c r="B64" s="194"/>
      <c r="C64" s="190"/>
      <c r="D64" s="195"/>
      <c r="E64" s="196"/>
      <c r="F64" s="197"/>
      <c r="H64" s="198"/>
      <c r="I64" s="198"/>
    </row>
    <row r="65" ht="19.5" customHeight="1">
      <c r="B65" s="194"/>
      <c r="C65" s="190"/>
      <c r="D65" s="195"/>
      <c r="E65" s="196"/>
      <c r="F65" s="197"/>
      <c r="H65" s="198"/>
      <c r="I65" s="198"/>
    </row>
    <row r="66" ht="19.5" customHeight="1">
      <c r="B66" s="194"/>
      <c r="C66" s="190"/>
      <c r="D66" s="195"/>
      <c r="E66" s="196"/>
      <c r="F66" s="197"/>
      <c r="H66" s="198"/>
      <c r="I66" s="198"/>
    </row>
    <row r="67" ht="19.5" customHeight="1">
      <c r="B67" s="194"/>
      <c r="C67" s="190"/>
      <c r="D67" s="195"/>
      <c r="E67" s="196"/>
      <c r="F67" s="197"/>
      <c r="H67" s="198"/>
      <c r="I67" s="198"/>
    </row>
    <row r="68" ht="19.5" customHeight="1">
      <c r="B68" s="194"/>
      <c r="C68" s="190"/>
      <c r="D68" s="195"/>
      <c r="E68" s="196"/>
      <c r="F68" s="197"/>
      <c r="H68" s="198"/>
      <c r="I68" s="198"/>
    </row>
    <row r="69" ht="19.5" customHeight="1">
      <c r="B69" s="194"/>
      <c r="C69" s="190"/>
      <c r="D69" s="195"/>
      <c r="E69" s="196"/>
      <c r="F69" s="197"/>
      <c r="H69" s="198"/>
      <c r="I69" s="198"/>
    </row>
    <row r="70" ht="19.5" customHeight="1">
      <c r="B70" s="194"/>
      <c r="C70" s="190"/>
      <c r="D70" s="195"/>
      <c r="E70" s="196"/>
      <c r="F70" s="197"/>
      <c r="H70" s="198"/>
      <c r="I70" s="198"/>
    </row>
    <row r="71" ht="19.5" customHeight="1">
      <c r="B71" s="194"/>
      <c r="C71" s="190"/>
      <c r="D71" s="195"/>
      <c r="E71" s="196"/>
      <c r="F71" s="197"/>
      <c r="H71" s="198"/>
      <c r="I71" s="198"/>
    </row>
    <row r="72" ht="19.5" customHeight="1">
      <c r="B72" s="194"/>
      <c r="C72" s="190"/>
      <c r="D72" s="195"/>
      <c r="E72" s="196"/>
      <c r="F72" s="197"/>
      <c r="H72" s="198"/>
      <c r="I72" s="198"/>
    </row>
    <row r="73" ht="19.5" customHeight="1">
      <c r="B73" s="194"/>
      <c r="C73" s="190"/>
      <c r="D73" s="195"/>
      <c r="E73" s="196"/>
      <c r="F73" s="197"/>
      <c r="H73" s="198"/>
      <c r="I73" s="198"/>
    </row>
    <row r="74" ht="19.5" customHeight="1">
      <c r="B74" s="194"/>
      <c r="C74" s="190"/>
      <c r="D74" s="195"/>
      <c r="E74" s="196"/>
      <c r="F74" s="197"/>
      <c r="H74" s="198"/>
      <c r="I74" s="198"/>
    </row>
    <row r="75" ht="19.5" customHeight="1">
      <c r="B75" s="194"/>
      <c r="C75" s="190"/>
      <c r="D75" s="195"/>
      <c r="E75" s="196"/>
      <c r="F75" s="197"/>
      <c r="H75" s="198"/>
      <c r="I75" s="198"/>
    </row>
    <row r="76" ht="19.5" customHeight="1">
      <c r="B76" s="194"/>
      <c r="C76" s="190"/>
      <c r="D76" s="195"/>
      <c r="E76" s="196"/>
      <c r="F76" s="197"/>
      <c r="H76" s="198"/>
      <c r="I76" s="198"/>
    </row>
    <row r="77" ht="19.5" customHeight="1">
      <c r="B77" s="194"/>
      <c r="C77" s="190"/>
      <c r="D77" s="195"/>
      <c r="E77" s="196"/>
      <c r="F77" s="197"/>
      <c r="H77" s="198"/>
      <c r="I77" s="198"/>
    </row>
    <row r="78" ht="19.5" customHeight="1">
      <c r="B78" s="194"/>
      <c r="C78" s="190"/>
      <c r="D78" s="195"/>
      <c r="E78" s="196"/>
      <c r="F78" s="197"/>
      <c r="H78" s="198"/>
      <c r="I78" s="198"/>
    </row>
    <row r="79" ht="19.5" customHeight="1">
      <c r="B79" s="194"/>
      <c r="C79" s="190"/>
      <c r="D79" s="195"/>
      <c r="E79" s="196"/>
      <c r="F79" s="197"/>
      <c r="H79" s="198"/>
      <c r="I79" s="198"/>
    </row>
    <row r="80" ht="19.5" customHeight="1">
      <c r="B80" s="194"/>
      <c r="C80" s="190"/>
      <c r="D80" s="195"/>
      <c r="E80" s="196"/>
      <c r="F80" s="197"/>
      <c r="H80" s="198"/>
      <c r="I80" s="198"/>
    </row>
    <row r="81" ht="19.5" customHeight="1">
      <c r="B81" s="194"/>
      <c r="C81" s="190"/>
      <c r="D81" s="195"/>
      <c r="E81" s="196"/>
      <c r="F81" s="197"/>
      <c r="H81" s="198"/>
      <c r="I81" s="198"/>
    </row>
    <row r="82" ht="19.5" customHeight="1">
      <c r="B82" s="194"/>
      <c r="C82" s="190"/>
      <c r="D82" s="195"/>
      <c r="E82" s="196"/>
      <c r="F82" s="197"/>
      <c r="H82" s="198"/>
      <c r="I82" s="198"/>
    </row>
    <row r="83" ht="19.5" customHeight="1">
      <c r="B83" s="194"/>
      <c r="C83" s="190"/>
      <c r="D83" s="195"/>
      <c r="E83" s="196"/>
      <c r="F83" s="197"/>
      <c r="H83" s="198"/>
      <c r="I83" s="198"/>
    </row>
    <row r="84" ht="19.5" customHeight="1">
      <c r="B84" s="194"/>
      <c r="C84" s="190"/>
      <c r="D84" s="195"/>
      <c r="E84" s="196"/>
      <c r="F84" s="197"/>
      <c r="H84" s="198"/>
      <c r="I84" s="198"/>
    </row>
    <row r="85" ht="19.5" customHeight="1">
      <c r="B85" s="194"/>
      <c r="C85" s="190"/>
      <c r="D85" s="195"/>
      <c r="E85" s="196"/>
      <c r="F85" s="197"/>
      <c r="H85" s="198"/>
      <c r="I85" s="198"/>
    </row>
    <row r="86" ht="19.5" customHeight="1">
      <c r="B86" s="194"/>
      <c r="C86" s="190"/>
      <c r="D86" s="195"/>
      <c r="E86" s="196"/>
      <c r="F86" s="197"/>
      <c r="H86" s="198"/>
      <c r="I86" s="198"/>
    </row>
    <row r="87" ht="19.5" customHeight="1">
      <c r="B87" s="194"/>
      <c r="C87" s="190"/>
      <c r="D87" s="195"/>
      <c r="E87" s="196"/>
      <c r="F87" s="197"/>
      <c r="H87" s="198"/>
      <c r="I87" s="198"/>
    </row>
    <row r="88" ht="19.5" customHeight="1">
      <c r="B88" s="194"/>
      <c r="C88" s="190"/>
      <c r="D88" s="195"/>
      <c r="E88" s="196"/>
      <c r="F88" s="197"/>
      <c r="H88" s="198"/>
      <c r="I88" s="198"/>
    </row>
    <row r="89" ht="19.5" customHeight="1">
      <c r="B89" s="194"/>
      <c r="C89" s="190"/>
      <c r="D89" s="195"/>
      <c r="E89" s="196"/>
      <c r="F89" s="197"/>
      <c r="H89" s="198"/>
      <c r="I89" s="198"/>
    </row>
    <row r="90" ht="19.5" customHeight="1">
      <c r="B90" s="194"/>
      <c r="C90" s="190"/>
      <c r="D90" s="195"/>
      <c r="E90" s="196"/>
      <c r="F90" s="197"/>
      <c r="H90" s="198"/>
      <c r="I90" s="198"/>
    </row>
    <row r="91" ht="19.5" customHeight="1">
      <c r="B91" s="194"/>
      <c r="C91" s="190"/>
      <c r="D91" s="195"/>
      <c r="E91" s="196"/>
      <c r="F91" s="197"/>
      <c r="H91" s="198"/>
      <c r="I91" s="198"/>
    </row>
    <row r="92" ht="19.5" customHeight="1">
      <c r="B92" s="194"/>
      <c r="C92" s="190"/>
      <c r="D92" s="195"/>
      <c r="E92" s="196"/>
      <c r="F92" s="197"/>
      <c r="H92" s="198"/>
      <c r="I92" s="198"/>
    </row>
    <row r="93" ht="19.5" customHeight="1">
      <c r="B93" s="194"/>
      <c r="C93" s="190"/>
      <c r="D93" s="195"/>
      <c r="E93" s="196"/>
      <c r="F93" s="197"/>
      <c r="H93" s="198"/>
      <c r="I93" s="198"/>
    </row>
    <row r="94" ht="19.5" customHeight="1">
      <c r="B94" s="194"/>
      <c r="C94" s="190"/>
      <c r="D94" s="195"/>
      <c r="E94" s="196"/>
      <c r="F94" s="197"/>
      <c r="H94" s="198"/>
      <c r="I94" s="198"/>
    </row>
    <row r="95" ht="19.5" customHeight="1">
      <c r="B95" s="194"/>
      <c r="C95" s="190"/>
      <c r="D95" s="195"/>
      <c r="E95" s="196"/>
      <c r="F95" s="197"/>
      <c r="H95" s="198"/>
      <c r="I95" s="198"/>
    </row>
    <row r="96" ht="19.5" customHeight="1">
      <c r="B96" s="194"/>
      <c r="C96" s="190"/>
      <c r="D96" s="195"/>
      <c r="E96" s="196"/>
      <c r="F96" s="197"/>
      <c r="H96" s="198"/>
      <c r="I96" s="198"/>
    </row>
    <row r="97" ht="19.5" customHeight="1">
      <c r="B97" s="194"/>
      <c r="C97" s="190"/>
      <c r="D97" s="195"/>
      <c r="E97" s="196"/>
      <c r="F97" s="197"/>
      <c r="H97" s="198"/>
      <c r="I97" s="198"/>
    </row>
    <row r="98" ht="19.5" customHeight="1">
      <c r="B98" s="194"/>
      <c r="C98" s="190"/>
      <c r="D98" s="195"/>
      <c r="E98" s="196"/>
      <c r="F98" s="197"/>
      <c r="H98" s="198"/>
      <c r="I98" s="198"/>
    </row>
    <row r="99" ht="19.5" customHeight="1">
      <c r="B99" s="194"/>
      <c r="C99" s="190"/>
      <c r="D99" s="195"/>
      <c r="E99" s="196"/>
      <c r="F99" s="197"/>
      <c r="H99" s="198"/>
      <c r="I99" s="198"/>
    </row>
    <row r="100" ht="19.5" customHeight="1">
      <c r="B100" s="194"/>
      <c r="C100" s="190"/>
      <c r="D100" s="195"/>
      <c r="E100" s="196"/>
      <c r="F100" s="197"/>
      <c r="H100" s="198"/>
      <c r="I100" s="198"/>
    </row>
    <row r="101" ht="19.5" customHeight="1">
      <c r="B101" s="194"/>
      <c r="C101" s="190"/>
      <c r="D101" s="195"/>
      <c r="E101" s="196"/>
      <c r="F101" s="197"/>
      <c r="H101" s="198"/>
      <c r="I101" s="198"/>
    </row>
    <row r="102" ht="19.5" customHeight="1">
      <c r="B102" s="194"/>
      <c r="C102" s="190"/>
      <c r="D102" s="195"/>
      <c r="E102" s="196"/>
      <c r="F102" s="197"/>
      <c r="H102" s="198"/>
      <c r="I102" s="198"/>
    </row>
    <row r="103" ht="19.5" customHeight="1">
      <c r="B103" s="194"/>
      <c r="C103" s="190"/>
      <c r="D103" s="195"/>
      <c r="E103" s="196"/>
      <c r="F103" s="197"/>
      <c r="H103" s="198"/>
      <c r="I103" s="198"/>
    </row>
    <row r="104" ht="19.5" customHeight="1">
      <c r="B104" s="194"/>
      <c r="C104" s="190"/>
      <c r="D104" s="195"/>
      <c r="E104" s="196"/>
      <c r="F104" s="197"/>
      <c r="H104" s="198"/>
      <c r="I104" s="198"/>
    </row>
    <row r="105" ht="19.5" customHeight="1">
      <c r="B105" s="194"/>
      <c r="C105" s="190"/>
      <c r="D105" s="195"/>
      <c r="E105" s="196"/>
      <c r="F105" s="197"/>
      <c r="H105" s="198"/>
      <c r="I105" s="198"/>
    </row>
    <row r="106" ht="19.5" customHeight="1">
      <c r="B106" s="194"/>
      <c r="C106" s="190"/>
      <c r="D106" s="195"/>
      <c r="E106" s="196"/>
      <c r="F106" s="197"/>
      <c r="H106" s="198"/>
      <c r="I106" s="198"/>
    </row>
    <row r="107" ht="19.5" customHeight="1">
      <c r="B107" s="194"/>
      <c r="C107" s="190"/>
      <c r="D107" s="195"/>
      <c r="E107" s="196"/>
      <c r="F107" s="197"/>
      <c r="H107" s="198"/>
      <c r="I107" s="198"/>
    </row>
    <row r="108" ht="19.5" customHeight="1">
      <c r="B108" s="194"/>
      <c r="C108" s="190"/>
      <c r="D108" s="195"/>
      <c r="E108" s="196"/>
      <c r="F108" s="197"/>
      <c r="H108" s="198"/>
      <c r="I108" s="198"/>
    </row>
    <row r="109" ht="19.5" customHeight="1">
      <c r="B109" s="194"/>
      <c r="C109" s="190"/>
      <c r="D109" s="195"/>
      <c r="E109" s="196"/>
      <c r="F109" s="197"/>
      <c r="H109" s="198"/>
      <c r="I109" s="198"/>
    </row>
    <row r="110" ht="19.5" customHeight="1">
      <c r="B110" s="194"/>
      <c r="C110" s="190"/>
      <c r="D110" s="195"/>
      <c r="E110" s="196"/>
      <c r="F110" s="197"/>
      <c r="H110" s="198"/>
      <c r="I110" s="198"/>
    </row>
    <row r="111" ht="19.5" customHeight="1">
      <c r="B111" s="194"/>
      <c r="C111" s="190"/>
      <c r="D111" s="195"/>
      <c r="E111" s="196"/>
      <c r="F111" s="197"/>
      <c r="H111" s="198"/>
      <c r="I111" s="198"/>
    </row>
    <row r="112" ht="19.5" customHeight="1">
      <c r="B112" s="194"/>
      <c r="C112" s="190"/>
      <c r="D112" s="195"/>
      <c r="E112" s="196"/>
      <c r="F112" s="197"/>
      <c r="H112" s="198"/>
      <c r="I112" s="198"/>
    </row>
    <row r="113" ht="19.5" customHeight="1">
      <c r="B113" s="194"/>
      <c r="C113" s="190"/>
      <c r="D113" s="195"/>
      <c r="E113" s="196"/>
      <c r="F113" s="197"/>
      <c r="H113" s="198"/>
      <c r="I113" s="198"/>
    </row>
    <row r="114" ht="19.5" customHeight="1">
      <c r="B114" s="194"/>
      <c r="C114" s="190"/>
      <c r="D114" s="195"/>
      <c r="E114" s="196"/>
      <c r="F114" s="197"/>
      <c r="H114" s="198"/>
      <c r="I114" s="198"/>
    </row>
    <row r="115" ht="19.5" customHeight="1">
      <c r="B115" s="194"/>
      <c r="C115" s="190"/>
      <c r="D115" s="195"/>
      <c r="E115" s="196"/>
      <c r="F115" s="197"/>
      <c r="H115" s="198"/>
      <c r="I115" s="198"/>
    </row>
    <row r="116" ht="19.5" customHeight="1">
      <c r="B116" s="194"/>
      <c r="C116" s="190"/>
      <c r="D116" s="195"/>
      <c r="E116" s="196"/>
      <c r="F116" s="197"/>
      <c r="H116" s="198"/>
      <c r="I116" s="198"/>
    </row>
    <row r="117" ht="19.5" customHeight="1">
      <c r="B117" s="194"/>
      <c r="C117" s="190"/>
      <c r="D117" s="195"/>
      <c r="E117" s="196"/>
      <c r="F117" s="197"/>
      <c r="H117" s="198"/>
      <c r="I117" s="198"/>
    </row>
    <row r="118" ht="19.5" customHeight="1">
      <c r="B118" s="194"/>
      <c r="C118" s="190"/>
      <c r="D118" s="195"/>
      <c r="E118" s="196"/>
      <c r="F118" s="197"/>
      <c r="H118" s="198"/>
      <c r="I118" s="198"/>
    </row>
    <row r="119" ht="19.5" customHeight="1">
      <c r="B119" s="194"/>
      <c r="C119" s="190"/>
      <c r="D119" s="195"/>
      <c r="E119" s="196"/>
      <c r="F119" s="197"/>
      <c r="H119" s="198"/>
      <c r="I119" s="198"/>
    </row>
    <row r="120" ht="19.5" customHeight="1">
      <c r="B120" s="194"/>
      <c r="C120" s="190"/>
      <c r="D120" s="195"/>
      <c r="E120" s="196"/>
      <c r="F120" s="197"/>
      <c r="H120" s="198"/>
      <c r="I120" s="198"/>
    </row>
    <row r="121" ht="19.5" customHeight="1">
      <c r="B121" s="194"/>
      <c r="C121" s="190"/>
      <c r="D121" s="195"/>
      <c r="E121" s="196"/>
      <c r="F121" s="197"/>
      <c r="H121" s="198"/>
      <c r="I121" s="198"/>
    </row>
    <row r="122" ht="19.5" customHeight="1">
      <c r="B122" s="194"/>
      <c r="C122" s="190"/>
      <c r="D122" s="195"/>
      <c r="E122" s="196"/>
      <c r="F122" s="197"/>
      <c r="H122" s="198"/>
      <c r="I122" s="198"/>
    </row>
    <row r="123" ht="19.5" customHeight="1">
      <c r="B123" s="194"/>
      <c r="C123" s="190"/>
      <c r="D123" s="195"/>
      <c r="E123" s="196"/>
      <c r="F123" s="197"/>
      <c r="H123" s="198"/>
      <c r="I123" s="198"/>
    </row>
    <row r="124" ht="19.5" customHeight="1">
      <c r="B124" s="194"/>
      <c r="C124" s="190"/>
      <c r="D124" s="195"/>
      <c r="E124" s="196"/>
      <c r="F124" s="197"/>
      <c r="H124" s="198"/>
      <c r="I124" s="198"/>
    </row>
    <row r="125" ht="19.5" customHeight="1">
      <c r="B125" s="194"/>
      <c r="C125" s="190"/>
      <c r="D125" s="195"/>
      <c r="E125" s="196"/>
      <c r="F125" s="197"/>
      <c r="H125" s="198"/>
      <c r="I125" s="198"/>
    </row>
    <row r="126" ht="19.5" customHeight="1">
      <c r="B126" s="194"/>
      <c r="C126" s="190"/>
      <c r="D126" s="195"/>
      <c r="E126" s="196"/>
      <c r="F126" s="197"/>
      <c r="H126" s="198"/>
      <c r="I126" s="198"/>
    </row>
    <row r="127" ht="19.5" customHeight="1">
      <c r="B127" s="194"/>
      <c r="C127" s="190"/>
      <c r="D127" s="195"/>
      <c r="E127" s="196"/>
      <c r="F127" s="197"/>
      <c r="H127" s="198"/>
      <c r="I127" s="198"/>
    </row>
    <row r="128" ht="19.5" customHeight="1">
      <c r="B128" s="194"/>
      <c r="C128" s="190"/>
      <c r="D128" s="195"/>
      <c r="E128" s="196"/>
      <c r="F128" s="197"/>
      <c r="H128" s="198"/>
      <c r="I128" s="198"/>
    </row>
    <row r="129" ht="19.5" customHeight="1">
      <c r="B129" s="194"/>
      <c r="C129" s="190"/>
      <c r="D129" s="195"/>
      <c r="E129" s="196"/>
      <c r="F129" s="197"/>
      <c r="H129" s="198"/>
      <c r="I129" s="198"/>
    </row>
    <row r="130" ht="19.5" customHeight="1">
      <c r="B130" s="194"/>
      <c r="C130" s="190"/>
      <c r="D130" s="195"/>
      <c r="E130" s="196"/>
      <c r="F130" s="197"/>
      <c r="H130" s="198"/>
      <c r="I130" s="198"/>
    </row>
    <row r="131" ht="19.5" customHeight="1">
      <c r="B131" s="194"/>
      <c r="C131" s="190"/>
      <c r="D131" s="195"/>
      <c r="E131" s="196"/>
      <c r="F131" s="197"/>
      <c r="H131" s="198"/>
      <c r="I131" s="198"/>
    </row>
    <row r="132" ht="19.5" customHeight="1">
      <c r="B132" s="194"/>
      <c r="C132" s="190"/>
      <c r="D132" s="195"/>
      <c r="E132" s="196"/>
      <c r="F132" s="197"/>
      <c r="H132" s="198"/>
      <c r="I132" s="198"/>
    </row>
    <row r="133" ht="19.5" customHeight="1">
      <c r="B133" s="194"/>
      <c r="C133" s="190"/>
      <c r="D133" s="195"/>
      <c r="E133" s="196"/>
      <c r="F133" s="197"/>
      <c r="H133" s="198"/>
      <c r="I133" s="198"/>
    </row>
    <row r="134" ht="19.5" customHeight="1">
      <c r="B134" s="194"/>
      <c r="C134" s="190"/>
      <c r="D134" s="195"/>
      <c r="E134" s="196"/>
      <c r="F134" s="197"/>
      <c r="H134" s="198"/>
      <c r="I134" s="198"/>
    </row>
    <row r="135" ht="19.5" customHeight="1">
      <c r="B135" s="194"/>
      <c r="C135" s="190"/>
      <c r="D135" s="195"/>
      <c r="E135" s="196"/>
      <c r="F135" s="197"/>
      <c r="H135" s="198"/>
      <c r="I135" s="198"/>
    </row>
    <row r="136" ht="19.5" customHeight="1">
      <c r="B136" s="194"/>
      <c r="C136" s="190"/>
      <c r="D136" s="195"/>
      <c r="E136" s="196"/>
      <c r="F136" s="197"/>
      <c r="H136" s="198"/>
      <c r="I136" s="198"/>
    </row>
    <row r="137" ht="19.5" customHeight="1">
      <c r="B137" s="194"/>
      <c r="C137" s="190"/>
      <c r="D137" s="195"/>
      <c r="E137" s="196"/>
      <c r="F137" s="197"/>
      <c r="H137" s="198"/>
      <c r="I137" s="198"/>
    </row>
    <row r="138" ht="19.5" customHeight="1">
      <c r="B138" s="194"/>
      <c r="C138" s="190"/>
      <c r="D138" s="195"/>
      <c r="E138" s="196"/>
      <c r="F138" s="197"/>
      <c r="H138" s="198"/>
      <c r="I138" s="198"/>
    </row>
    <row r="139" ht="19.5" customHeight="1">
      <c r="B139" s="194"/>
      <c r="C139" s="190"/>
      <c r="D139" s="195"/>
      <c r="E139" s="196"/>
      <c r="F139" s="197"/>
      <c r="H139" s="198"/>
      <c r="I139" s="198"/>
    </row>
    <row r="140" ht="19.5" customHeight="1">
      <c r="B140" s="194"/>
      <c r="C140" s="190"/>
      <c r="D140" s="195"/>
      <c r="E140" s="196"/>
      <c r="F140" s="197"/>
      <c r="H140" s="198"/>
      <c r="I140" s="198"/>
    </row>
    <row r="141" ht="19.5" customHeight="1">
      <c r="B141" s="194"/>
      <c r="C141" s="190"/>
      <c r="D141" s="195"/>
      <c r="E141" s="196"/>
      <c r="F141" s="197"/>
      <c r="H141" s="198"/>
      <c r="I141" s="198"/>
    </row>
    <row r="142" ht="19.5" customHeight="1">
      <c r="B142" s="194"/>
      <c r="C142" s="190"/>
      <c r="D142" s="195"/>
      <c r="E142" s="196"/>
      <c r="F142" s="197"/>
      <c r="H142" s="198"/>
      <c r="I142" s="198"/>
    </row>
    <row r="143" ht="19.5" customHeight="1">
      <c r="B143" s="194"/>
      <c r="C143" s="190"/>
      <c r="D143" s="195"/>
      <c r="E143" s="196"/>
      <c r="F143" s="197"/>
      <c r="H143" s="198"/>
      <c r="I143" s="198"/>
    </row>
    <row r="144" ht="19.5" customHeight="1">
      <c r="B144" s="194"/>
      <c r="C144" s="190"/>
      <c r="D144" s="195"/>
      <c r="E144" s="196"/>
      <c r="F144" s="197"/>
      <c r="H144" s="198"/>
      <c r="I144" s="198"/>
    </row>
    <row r="145" ht="19.5" customHeight="1">
      <c r="B145" s="194"/>
      <c r="C145" s="190"/>
      <c r="D145" s="195"/>
      <c r="E145" s="196"/>
      <c r="F145" s="197"/>
      <c r="H145" s="198"/>
      <c r="I145" s="198"/>
    </row>
    <row r="146" ht="19.5" customHeight="1">
      <c r="B146" s="194"/>
      <c r="C146" s="190"/>
      <c r="D146" s="195"/>
      <c r="E146" s="196"/>
      <c r="F146" s="197"/>
      <c r="H146" s="198"/>
      <c r="I146" s="198"/>
    </row>
    <row r="147" ht="19.5" customHeight="1">
      <c r="B147" s="194"/>
      <c r="C147" s="190"/>
      <c r="D147" s="195"/>
      <c r="E147" s="196"/>
      <c r="F147" s="197"/>
      <c r="H147" s="198"/>
      <c r="I147" s="198"/>
    </row>
    <row r="148" ht="19.5" customHeight="1">
      <c r="B148" s="194"/>
      <c r="C148" s="190"/>
      <c r="D148" s="195"/>
      <c r="E148" s="196"/>
      <c r="F148" s="197"/>
      <c r="H148" s="198"/>
      <c r="I148" s="198"/>
    </row>
    <row r="149" ht="19.5" customHeight="1">
      <c r="B149" s="194"/>
      <c r="C149" s="190"/>
      <c r="D149" s="195"/>
      <c r="E149" s="196"/>
      <c r="F149" s="197"/>
      <c r="H149" s="198"/>
      <c r="I149" s="198"/>
    </row>
    <row r="150" ht="19.5" customHeight="1">
      <c r="B150" s="194"/>
      <c r="C150" s="190"/>
      <c r="D150" s="195"/>
      <c r="E150" s="196"/>
      <c r="F150" s="197"/>
      <c r="H150" s="198"/>
      <c r="I150" s="198"/>
    </row>
    <row r="151" ht="19.5" customHeight="1">
      <c r="B151" s="194"/>
      <c r="C151" s="190"/>
      <c r="D151" s="195"/>
      <c r="E151" s="196"/>
      <c r="F151" s="197"/>
      <c r="H151" s="198"/>
      <c r="I151" s="198"/>
    </row>
    <row r="152" ht="19.5" customHeight="1">
      <c r="B152" s="194"/>
      <c r="C152" s="190"/>
      <c r="D152" s="195"/>
      <c r="E152" s="196"/>
      <c r="F152" s="197"/>
      <c r="H152" s="198"/>
      <c r="I152" s="198"/>
    </row>
    <row r="153" ht="19.5" customHeight="1">
      <c r="B153" s="194"/>
      <c r="C153" s="190"/>
      <c r="D153" s="195"/>
      <c r="E153" s="196"/>
      <c r="F153" s="197"/>
      <c r="H153" s="198"/>
      <c r="I153" s="198"/>
    </row>
    <row r="154" ht="19.5" customHeight="1">
      <c r="B154" s="194"/>
      <c r="C154" s="190"/>
      <c r="D154" s="195"/>
      <c r="E154" s="196"/>
      <c r="F154" s="197"/>
      <c r="H154" s="198"/>
      <c r="I154" s="198"/>
    </row>
    <row r="155" ht="19.5" customHeight="1">
      <c r="B155" s="194"/>
      <c r="C155" s="190"/>
      <c r="D155" s="195"/>
      <c r="E155" s="196"/>
      <c r="F155" s="197"/>
      <c r="H155" s="198"/>
      <c r="I155" s="198"/>
    </row>
    <row r="156" ht="19.5" customHeight="1">
      <c r="B156" s="194"/>
      <c r="C156" s="190"/>
      <c r="D156" s="195"/>
      <c r="E156" s="196"/>
      <c r="F156" s="197"/>
      <c r="H156" s="198"/>
      <c r="I156" s="198"/>
    </row>
    <row r="157" ht="19.5" customHeight="1">
      <c r="B157" s="194"/>
      <c r="C157" s="190"/>
      <c r="D157" s="195"/>
      <c r="E157" s="196"/>
      <c r="F157" s="197"/>
      <c r="H157" s="198"/>
      <c r="I157" s="198"/>
    </row>
    <row r="158" ht="19.5" customHeight="1">
      <c r="B158" s="194"/>
      <c r="C158" s="190"/>
      <c r="D158" s="195"/>
      <c r="E158" s="196"/>
      <c r="F158" s="197"/>
      <c r="H158" s="198"/>
      <c r="I158" s="198"/>
    </row>
    <row r="159" ht="19.5" customHeight="1">
      <c r="B159" s="194"/>
      <c r="C159" s="190"/>
      <c r="D159" s="195"/>
      <c r="E159" s="196"/>
      <c r="F159" s="197"/>
      <c r="H159" s="198"/>
      <c r="I159" s="198"/>
    </row>
    <row r="160" ht="19.5" customHeight="1">
      <c r="B160" s="194"/>
      <c r="C160" s="190"/>
      <c r="D160" s="195"/>
      <c r="E160" s="196"/>
      <c r="F160" s="197"/>
      <c r="H160" s="198"/>
      <c r="I160" s="198"/>
    </row>
    <row r="161" ht="19.5" customHeight="1">
      <c r="B161" s="194"/>
      <c r="C161" s="190"/>
      <c r="D161" s="195"/>
      <c r="E161" s="196"/>
      <c r="F161" s="197"/>
      <c r="H161" s="198"/>
      <c r="I161" s="198"/>
    </row>
    <row r="162" ht="19.5" customHeight="1">
      <c r="B162" s="194"/>
      <c r="C162" s="190"/>
      <c r="D162" s="195"/>
      <c r="E162" s="196"/>
      <c r="F162" s="197"/>
      <c r="H162" s="198"/>
      <c r="I162" s="198"/>
    </row>
    <row r="163" ht="19.5" customHeight="1">
      <c r="B163" s="194"/>
      <c r="C163" s="190"/>
      <c r="D163" s="195"/>
      <c r="E163" s="196"/>
      <c r="F163" s="197"/>
      <c r="H163" s="198"/>
      <c r="I163" s="198"/>
    </row>
    <row r="164" ht="19.5" customHeight="1">
      <c r="B164" s="194"/>
      <c r="C164" s="190"/>
      <c r="D164" s="195"/>
      <c r="E164" s="196"/>
      <c r="F164" s="197"/>
      <c r="H164" s="198"/>
      <c r="I164" s="198"/>
    </row>
    <row r="165" ht="19.5" customHeight="1">
      <c r="B165" s="194"/>
      <c r="C165" s="190"/>
      <c r="D165" s="195"/>
      <c r="E165" s="196"/>
      <c r="F165" s="197"/>
      <c r="H165" s="198"/>
      <c r="I165" s="198"/>
    </row>
    <row r="166" ht="19.5" customHeight="1">
      <c r="B166" s="194"/>
      <c r="C166" s="190"/>
      <c r="D166" s="195"/>
      <c r="E166" s="196"/>
      <c r="F166" s="197"/>
      <c r="H166" s="198"/>
      <c r="I166" s="198"/>
    </row>
    <row r="167" ht="19.5" customHeight="1">
      <c r="B167" s="194"/>
      <c r="C167" s="190"/>
      <c r="D167" s="195"/>
      <c r="E167" s="196"/>
      <c r="F167" s="197"/>
      <c r="H167" s="198"/>
      <c r="I167" s="198"/>
    </row>
    <row r="168" ht="19.5" customHeight="1">
      <c r="B168" s="194"/>
      <c r="C168" s="190"/>
      <c r="D168" s="195"/>
      <c r="E168" s="196"/>
      <c r="F168" s="197"/>
      <c r="H168" s="198"/>
      <c r="I168" s="198"/>
    </row>
    <row r="169" ht="19.5" customHeight="1">
      <c r="B169" s="194"/>
      <c r="C169" s="190"/>
      <c r="D169" s="195"/>
      <c r="E169" s="196"/>
      <c r="F169" s="197"/>
      <c r="H169" s="198"/>
      <c r="I169" s="198"/>
    </row>
    <row r="170" ht="19.5" customHeight="1">
      <c r="B170" s="194"/>
      <c r="C170" s="190"/>
      <c r="D170" s="195"/>
      <c r="E170" s="196"/>
      <c r="F170" s="197"/>
      <c r="H170" s="198"/>
      <c r="I170" s="198"/>
    </row>
    <row r="171" ht="19.5" customHeight="1">
      <c r="B171" s="194"/>
      <c r="C171" s="190"/>
      <c r="D171" s="195"/>
      <c r="E171" s="196"/>
      <c r="F171" s="197"/>
      <c r="H171" s="198"/>
      <c r="I171" s="198"/>
    </row>
    <row r="172" ht="19.5" customHeight="1">
      <c r="B172" s="194"/>
      <c r="C172" s="190"/>
      <c r="D172" s="195"/>
      <c r="E172" s="196"/>
      <c r="F172" s="197"/>
      <c r="H172" s="198"/>
      <c r="I172" s="198"/>
    </row>
    <row r="173" ht="19.5" customHeight="1">
      <c r="B173" s="194"/>
      <c r="C173" s="190"/>
      <c r="D173" s="195"/>
      <c r="E173" s="196"/>
      <c r="F173" s="197"/>
      <c r="H173" s="198"/>
      <c r="I173" s="198"/>
    </row>
    <row r="174" ht="19.5" customHeight="1">
      <c r="B174" s="194"/>
      <c r="C174" s="190"/>
      <c r="D174" s="195"/>
      <c r="E174" s="196"/>
      <c r="F174" s="197"/>
      <c r="H174" s="198"/>
      <c r="I174" s="198"/>
    </row>
    <row r="175" ht="19.5" customHeight="1">
      <c r="B175" s="194"/>
      <c r="C175" s="190"/>
      <c r="D175" s="195"/>
      <c r="E175" s="196"/>
      <c r="F175" s="197"/>
      <c r="H175" s="198"/>
      <c r="I175" s="198"/>
    </row>
    <row r="176" ht="19.5" customHeight="1">
      <c r="B176" s="194"/>
      <c r="C176" s="190"/>
      <c r="D176" s="195"/>
      <c r="E176" s="196"/>
      <c r="F176" s="197"/>
      <c r="H176" s="198"/>
      <c r="I176" s="198"/>
    </row>
    <row r="177" ht="19.5" customHeight="1">
      <c r="B177" s="194"/>
      <c r="C177" s="190"/>
      <c r="D177" s="195"/>
      <c r="E177" s="196"/>
      <c r="F177" s="197"/>
      <c r="H177" s="198"/>
      <c r="I177" s="198"/>
    </row>
    <row r="178" ht="19.5" customHeight="1">
      <c r="B178" s="194"/>
      <c r="C178" s="190"/>
      <c r="D178" s="195"/>
      <c r="E178" s="196"/>
      <c r="F178" s="197"/>
      <c r="H178" s="198"/>
      <c r="I178" s="198"/>
    </row>
    <row r="179" ht="19.5" customHeight="1">
      <c r="B179" s="194"/>
      <c r="C179" s="190"/>
      <c r="D179" s="195"/>
      <c r="E179" s="196"/>
      <c r="F179" s="197"/>
      <c r="H179" s="198"/>
      <c r="I179" s="198"/>
    </row>
    <row r="180" ht="19.5" customHeight="1">
      <c r="B180" s="194"/>
      <c r="C180" s="190"/>
      <c r="D180" s="195"/>
      <c r="E180" s="196"/>
      <c r="F180" s="197"/>
      <c r="H180" s="198"/>
      <c r="I180" s="198"/>
    </row>
    <row r="181" ht="19.5" customHeight="1">
      <c r="B181" s="194"/>
      <c r="C181" s="190"/>
      <c r="D181" s="195"/>
      <c r="E181" s="196"/>
      <c r="F181" s="197"/>
      <c r="H181" s="198"/>
      <c r="I181" s="198"/>
    </row>
    <row r="182" ht="19.5" customHeight="1">
      <c r="B182" s="194"/>
      <c r="C182" s="190"/>
      <c r="D182" s="195"/>
      <c r="E182" s="196"/>
      <c r="F182" s="197"/>
      <c r="H182" s="198"/>
      <c r="I182" s="198"/>
    </row>
    <row r="183" ht="19.5" customHeight="1">
      <c r="B183" s="194"/>
      <c r="C183" s="190"/>
      <c r="D183" s="195"/>
      <c r="E183" s="196"/>
      <c r="F183" s="197"/>
      <c r="H183" s="198"/>
      <c r="I183" s="198"/>
    </row>
    <row r="184" ht="19.5" customHeight="1">
      <c r="B184" s="194"/>
      <c r="C184" s="190"/>
      <c r="D184" s="195"/>
      <c r="E184" s="196"/>
      <c r="F184" s="197"/>
      <c r="H184" s="198"/>
      <c r="I184" s="198"/>
    </row>
    <row r="185" ht="19.5" customHeight="1">
      <c r="B185" s="194"/>
      <c r="C185" s="190"/>
      <c r="D185" s="195"/>
      <c r="E185" s="196"/>
      <c r="F185" s="197"/>
      <c r="H185" s="198"/>
      <c r="I185" s="198"/>
    </row>
    <row r="186" ht="19.5" customHeight="1">
      <c r="B186" s="194"/>
      <c r="C186" s="190"/>
      <c r="D186" s="195"/>
      <c r="E186" s="196"/>
      <c r="F186" s="197"/>
      <c r="H186" s="198"/>
      <c r="I186" s="198"/>
    </row>
    <row r="187" ht="19.5" customHeight="1">
      <c r="B187" s="194"/>
      <c r="C187" s="190"/>
      <c r="D187" s="195"/>
      <c r="E187" s="196"/>
      <c r="F187" s="197"/>
      <c r="H187" s="198"/>
      <c r="I187" s="198"/>
    </row>
    <row r="188" ht="19.5" customHeight="1">
      <c r="B188" s="194"/>
      <c r="C188" s="190"/>
      <c r="D188" s="195"/>
      <c r="E188" s="196"/>
      <c r="F188" s="197"/>
      <c r="H188" s="198"/>
      <c r="I188" s="198"/>
    </row>
    <row r="189" ht="19.5" customHeight="1">
      <c r="B189" s="194"/>
      <c r="C189" s="190"/>
      <c r="D189" s="195"/>
      <c r="E189" s="196"/>
      <c r="F189" s="197"/>
      <c r="H189" s="198"/>
      <c r="I189" s="198"/>
    </row>
    <row r="190" ht="19.5" customHeight="1">
      <c r="B190" s="194"/>
      <c r="C190" s="190"/>
      <c r="D190" s="195"/>
      <c r="E190" s="196"/>
      <c r="F190" s="197"/>
      <c r="H190" s="198"/>
      <c r="I190" s="198"/>
    </row>
    <row r="191" ht="19.5" customHeight="1">
      <c r="B191" s="194"/>
      <c r="C191" s="190"/>
      <c r="D191" s="195"/>
      <c r="E191" s="196"/>
      <c r="F191" s="197"/>
      <c r="H191" s="198"/>
      <c r="I191" s="198"/>
    </row>
    <row r="192" ht="19.5" customHeight="1">
      <c r="B192" s="194"/>
      <c r="C192" s="190"/>
      <c r="D192" s="195"/>
      <c r="E192" s="196"/>
      <c r="F192" s="197"/>
      <c r="H192" s="198"/>
      <c r="I192" s="198"/>
    </row>
    <row r="193" ht="19.5" customHeight="1">
      <c r="B193" s="194"/>
      <c r="C193" s="190"/>
      <c r="D193" s="195"/>
      <c r="E193" s="196"/>
      <c r="F193" s="197"/>
      <c r="H193" s="198"/>
      <c r="I193" s="198"/>
    </row>
    <row r="194" ht="19.5" customHeight="1">
      <c r="B194" s="194"/>
      <c r="C194" s="190"/>
      <c r="D194" s="195"/>
      <c r="E194" s="196"/>
      <c r="F194" s="197"/>
      <c r="H194" s="198"/>
      <c r="I194" s="198"/>
    </row>
    <row r="195" ht="19.5" customHeight="1">
      <c r="B195" s="194"/>
      <c r="C195" s="190"/>
      <c r="D195" s="195"/>
      <c r="E195" s="196"/>
      <c r="F195" s="197"/>
      <c r="H195" s="198"/>
      <c r="I195" s="198"/>
    </row>
    <row r="196" ht="19.5" customHeight="1">
      <c r="B196" s="194"/>
      <c r="C196" s="190"/>
      <c r="D196" s="195"/>
      <c r="E196" s="196"/>
      <c r="F196" s="197"/>
      <c r="H196" s="198"/>
      <c r="I196" s="198"/>
    </row>
    <row r="197" ht="19.5" customHeight="1">
      <c r="B197" s="194"/>
      <c r="C197" s="190"/>
      <c r="D197" s="195"/>
      <c r="E197" s="196"/>
      <c r="F197" s="197"/>
      <c r="H197" s="198"/>
      <c r="I197" s="198"/>
    </row>
    <row r="198" ht="19.5" customHeight="1">
      <c r="B198" s="194"/>
      <c r="C198" s="190"/>
      <c r="D198" s="195"/>
      <c r="E198" s="196"/>
      <c r="F198" s="197"/>
      <c r="H198" s="198"/>
      <c r="I198" s="198"/>
    </row>
    <row r="199" ht="19.5" customHeight="1">
      <c r="B199" s="194"/>
      <c r="C199" s="190"/>
      <c r="D199" s="195"/>
      <c r="E199" s="196"/>
      <c r="F199" s="197"/>
      <c r="H199" s="198"/>
      <c r="I199" s="198"/>
    </row>
    <row r="200" ht="19.5" customHeight="1">
      <c r="B200" s="194"/>
      <c r="C200" s="190"/>
      <c r="D200" s="195"/>
      <c r="E200" s="196"/>
      <c r="F200" s="197"/>
      <c r="H200" s="198"/>
      <c r="I200" s="198"/>
    </row>
    <row r="201" ht="19.5" customHeight="1">
      <c r="B201" s="194"/>
      <c r="C201" s="190"/>
      <c r="D201" s="195"/>
      <c r="E201" s="196"/>
      <c r="F201" s="197"/>
      <c r="H201" s="198"/>
      <c r="I201" s="198"/>
    </row>
    <row r="202" ht="19.5" customHeight="1">
      <c r="B202" s="194"/>
      <c r="C202" s="190"/>
      <c r="D202" s="195"/>
      <c r="E202" s="196"/>
      <c r="F202" s="197"/>
      <c r="H202" s="198"/>
      <c r="I202" s="198"/>
    </row>
    <row r="203" ht="19.5" customHeight="1">
      <c r="B203" s="194"/>
      <c r="C203" s="190"/>
      <c r="D203" s="195"/>
      <c r="E203" s="196"/>
      <c r="F203" s="197"/>
      <c r="H203" s="198"/>
      <c r="I203" s="198"/>
    </row>
    <row r="204" ht="19.5" customHeight="1">
      <c r="B204" s="194"/>
      <c r="C204" s="190"/>
      <c r="D204" s="195"/>
      <c r="E204" s="196"/>
      <c r="F204" s="197"/>
      <c r="H204" s="198"/>
      <c r="I204" s="198"/>
    </row>
    <row r="205" ht="19.5" customHeight="1">
      <c r="B205" s="194"/>
      <c r="C205" s="190"/>
      <c r="D205" s="195"/>
      <c r="E205" s="196"/>
      <c r="F205" s="197"/>
      <c r="H205" s="198"/>
      <c r="I205" s="198"/>
    </row>
    <row r="206" ht="19.5" customHeight="1">
      <c r="B206" s="194"/>
      <c r="C206" s="190"/>
      <c r="D206" s="195"/>
      <c r="E206" s="196"/>
      <c r="F206" s="197"/>
      <c r="H206" s="198"/>
      <c r="I206" s="198"/>
    </row>
    <row r="207" ht="19.5" customHeight="1">
      <c r="B207" s="194"/>
      <c r="C207" s="190"/>
      <c r="D207" s="195"/>
      <c r="E207" s="196"/>
      <c r="F207" s="197"/>
      <c r="H207" s="198"/>
      <c r="I207" s="198"/>
    </row>
    <row r="208" ht="19.5" customHeight="1">
      <c r="B208" s="194"/>
      <c r="C208" s="190"/>
      <c r="D208" s="195"/>
      <c r="E208" s="196"/>
      <c r="F208" s="197"/>
      <c r="H208" s="198"/>
      <c r="I208" s="198"/>
    </row>
    <row r="209" ht="19.5" customHeight="1">
      <c r="B209" s="194"/>
      <c r="C209" s="190"/>
      <c r="D209" s="195"/>
      <c r="E209" s="196"/>
      <c r="F209" s="197"/>
      <c r="H209" s="198"/>
      <c r="I209" s="198"/>
    </row>
    <row r="210" ht="19.5" customHeight="1">
      <c r="B210" s="194"/>
      <c r="C210" s="190"/>
      <c r="D210" s="195"/>
      <c r="E210" s="196"/>
      <c r="F210" s="197"/>
      <c r="H210" s="198"/>
      <c r="I210" s="198"/>
    </row>
    <row r="211" ht="19.5" customHeight="1">
      <c r="B211" s="194"/>
      <c r="C211" s="190"/>
      <c r="D211" s="195"/>
      <c r="E211" s="196"/>
      <c r="F211" s="197"/>
      <c r="H211" s="198"/>
      <c r="I211" s="198"/>
    </row>
    <row r="212" ht="19.5" customHeight="1">
      <c r="B212" s="194"/>
      <c r="C212" s="190"/>
      <c r="D212" s="195"/>
      <c r="E212" s="196"/>
      <c r="F212" s="197"/>
      <c r="H212" s="198"/>
      <c r="I212" s="198"/>
    </row>
    <row r="213" ht="19.5" customHeight="1">
      <c r="B213" s="194"/>
      <c r="C213" s="190"/>
      <c r="D213" s="195"/>
      <c r="E213" s="196"/>
      <c r="F213" s="197"/>
      <c r="H213" s="198"/>
      <c r="I213" s="198"/>
    </row>
    <row r="214" ht="19.5" customHeight="1">
      <c r="B214" s="194"/>
      <c r="C214" s="190"/>
      <c r="D214" s="195"/>
      <c r="E214" s="196"/>
      <c r="F214" s="197"/>
      <c r="H214" s="198"/>
      <c r="I214" s="198"/>
    </row>
    <row r="215" ht="19.5" customHeight="1">
      <c r="B215" s="194"/>
      <c r="C215" s="190"/>
      <c r="D215" s="195"/>
      <c r="E215" s="196"/>
      <c r="F215" s="197"/>
      <c r="H215" s="198"/>
      <c r="I215" s="198"/>
    </row>
    <row r="216" ht="19.5" customHeight="1">
      <c r="B216" s="194"/>
      <c r="C216" s="190"/>
      <c r="D216" s="195"/>
      <c r="E216" s="196"/>
      <c r="F216" s="197"/>
      <c r="H216" s="198"/>
      <c r="I216" s="198"/>
    </row>
    <row r="217" ht="19.5" customHeight="1">
      <c r="B217" s="194"/>
      <c r="C217" s="190"/>
      <c r="D217" s="195"/>
      <c r="E217" s="196"/>
      <c r="F217" s="197"/>
      <c r="H217" s="198"/>
      <c r="I217" s="198"/>
    </row>
    <row r="218" ht="19.5" customHeight="1">
      <c r="B218" s="194"/>
      <c r="C218" s="190"/>
      <c r="D218" s="195"/>
      <c r="E218" s="196"/>
      <c r="F218" s="197"/>
      <c r="H218" s="198"/>
      <c r="I218" s="198"/>
    </row>
    <row r="219" ht="19.5" customHeight="1">
      <c r="B219" s="194"/>
      <c r="C219" s="190"/>
      <c r="D219" s="195"/>
      <c r="E219" s="196"/>
      <c r="F219" s="197"/>
      <c r="H219" s="198"/>
      <c r="I219" s="198"/>
    </row>
    <row r="220" ht="19.5" customHeight="1">
      <c r="B220" s="194"/>
      <c r="C220" s="190"/>
      <c r="D220" s="195"/>
      <c r="E220" s="196"/>
      <c r="F220" s="197"/>
      <c r="H220" s="198"/>
      <c r="I220" s="198"/>
    </row>
    <row r="221" ht="19.5" customHeight="1">
      <c r="B221" s="194"/>
      <c r="C221" s="190"/>
      <c r="D221" s="195"/>
      <c r="E221" s="196"/>
      <c r="F221" s="197"/>
      <c r="H221" s="198"/>
      <c r="I221" s="198"/>
    </row>
    <row r="222" ht="19.5" customHeight="1">
      <c r="B222" s="194"/>
      <c r="C222" s="190"/>
      <c r="D222" s="195"/>
      <c r="E222" s="196"/>
      <c r="F222" s="197"/>
      <c r="H222" s="198"/>
      <c r="I222" s="198"/>
    </row>
    <row r="223" ht="19.5" customHeight="1">
      <c r="B223" s="194"/>
      <c r="C223" s="190"/>
      <c r="D223" s="195"/>
      <c r="E223" s="196"/>
      <c r="F223" s="197"/>
      <c r="H223" s="198"/>
      <c r="I223" s="198"/>
    </row>
    <row r="224" ht="19.5" customHeight="1">
      <c r="B224" s="194"/>
      <c r="C224" s="190"/>
      <c r="D224" s="195"/>
      <c r="E224" s="196"/>
      <c r="F224" s="197"/>
      <c r="H224" s="198"/>
      <c r="I224" s="198"/>
    </row>
    <row r="225" ht="19.5" customHeight="1">
      <c r="B225" s="194"/>
      <c r="C225" s="190"/>
      <c r="D225" s="195"/>
      <c r="E225" s="196"/>
      <c r="F225" s="197"/>
      <c r="H225" s="198"/>
      <c r="I225" s="198"/>
    </row>
    <row r="226" ht="19.5" customHeight="1">
      <c r="B226" s="194"/>
      <c r="C226" s="190"/>
      <c r="D226" s="195"/>
      <c r="E226" s="196"/>
      <c r="F226" s="197"/>
      <c r="H226" s="198"/>
      <c r="I226" s="198"/>
    </row>
    <row r="227" ht="19.5" customHeight="1">
      <c r="B227" s="194"/>
      <c r="C227" s="190"/>
      <c r="D227" s="195"/>
      <c r="E227" s="196"/>
      <c r="F227" s="197"/>
      <c r="H227" s="198"/>
      <c r="I227" s="198"/>
    </row>
    <row r="228" ht="19.5" customHeight="1">
      <c r="B228" s="194"/>
      <c r="C228" s="190"/>
      <c r="D228" s="195"/>
      <c r="E228" s="196"/>
      <c r="F228" s="197"/>
      <c r="H228" s="198"/>
      <c r="I228" s="198"/>
    </row>
    <row r="229" ht="19.5" customHeight="1">
      <c r="B229" s="194"/>
      <c r="C229" s="190"/>
      <c r="D229" s="195"/>
      <c r="E229" s="196"/>
      <c r="F229" s="197"/>
      <c r="H229" s="198"/>
      <c r="I229" s="198"/>
    </row>
    <row r="230" ht="19.5" customHeight="1">
      <c r="B230" s="194"/>
      <c r="C230" s="190"/>
      <c r="D230" s="195"/>
      <c r="E230" s="196"/>
      <c r="F230" s="197"/>
      <c r="H230" s="198"/>
      <c r="I230" s="198"/>
    </row>
    <row r="231" ht="19.5" customHeight="1">
      <c r="B231" s="194"/>
      <c r="C231" s="190"/>
      <c r="D231" s="195"/>
      <c r="E231" s="196"/>
      <c r="F231" s="197"/>
      <c r="H231" s="198"/>
      <c r="I231" s="198"/>
    </row>
    <row r="232" ht="19.5" customHeight="1">
      <c r="B232" s="194"/>
      <c r="C232" s="190"/>
      <c r="D232" s="195"/>
      <c r="E232" s="196"/>
      <c r="F232" s="197"/>
      <c r="H232" s="198"/>
      <c r="I232" s="198"/>
    </row>
    <row r="233" ht="19.5" customHeight="1">
      <c r="B233" s="194"/>
      <c r="C233" s="190"/>
      <c r="D233" s="195"/>
      <c r="E233" s="196"/>
      <c r="F233" s="197"/>
      <c r="H233" s="198"/>
      <c r="I233" s="198"/>
    </row>
    <row r="234" ht="19.5" customHeight="1">
      <c r="B234" s="194"/>
      <c r="C234" s="190"/>
      <c r="D234" s="195"/>
      <c r="E234" s="196"/>
      <c r="F234" s="197"/>
      <c r="H234" s="198"/>
      <c r="I234" s="198"/>
    </row>
    <row r="235" ht="19.5" customHeight="1">
      <c r="B235" s="194"/>
      <c r="C235" s="190"/>
      <c r="D235" s="195"/>
      <c r="E235" s="196"/>
      <c r="F235" s="197"/>
      <c r="H235" s="198"/>
      <c r="I235" s="198"/>
    </row>
    <row r="236" ht="19.5" customHeight="1">
      <c r="B236" s="194"/>
      <c r="C236" s="190"/>
      <c r="D236" s="195"/>
      <c r="E236" s="196"/>
      <c r="F236" s="197"/>
      <c r="H236" s="198"/>
      <c r="I236" s="198"/>
    </row>
    <row r="237" ht="19.5" customHeight="1">
      <c r="B237" s="194"/>
      <c r="C237" s="190"/>
      <c r="D237" s="195"/>
      <c r="E237" s="196"/>
      <c r="F237" s="197"/>
      <c r="H237" s="198"/>
      <c r="I237" s="198"/>
    </row>
    <row r="238" ht="19.5" customHeight="1">
      <c r="B238" s="194"/>
      <c r="C238" s="190"/>
      <c r="D238" s="195"/>
      <c r="E238" s="196"/>
      <c r="F238" s="197"/>
      <c r="H238" s="198"/>
      <c r="I238" s="198"/>
    </row>
    <row r="239" ht="19.5" customHeight="1">
      <c r="B239" s="194"/>
      <c r="C239" s="190"/>
      <c r="D239" s="195"/>
      <c r="E239" s="196"/>
      <c r="F239" s="197"/>
      <c r="H239" s="198"/>
      <c r="I239" s="198"/>
    </row>
    <row r="240" ht="19.5" customHeight="1">
      <c r="B240" s="194"/>
      <c r="C240" s="190"/>
      <c r="D240" s="195"/>
      <c r="E240" s="196"/>
      <c r="F240" s="197"/>
      <c r="H240" s="198"/>
      <c r="I240" s="198"/>
    </row>
    <row r="241" ht="19.5" customHeight="1">
      <c r="B241" s="194"/>
      <c r="C241" s="190"/>
      <c r="D241" s="195"/>
      <c r="E241" s="196"/>
      <c r="F241" s="197"/>
      <c r="H241" s="198"/>
      <c r="I241" s="198"/>
    </row>
    <row r="242" ht="19.5" customHeight="1">
      <c r="B242" s="194"/>
      <c r="C242" s="190"/>
      <c r="D242" s="195"/>
      <c r="E242" s="196"/>
      <c r="F242" s="197"/>
      <c r="H242" s="198"/>
      <c r="I242" s="198"/>
    </row>
    <row r="243" ht="19.5" customHeight="1">
      <c r="B243" s="194"/>
      <c r="C243" s="190"/>
      <c r="D243" s="195"/>
      <c r="E243" s="196"/>
      <c r="F243" s="197"/>
      <c r="H243" s="198"/>
      <c r="I243" s="198"/>
    </row>
    <row r="244" ht="19.5" customHeight="1">
      <c r="B244" s="194"/>
      <c r="C244" s="190"/>
      <c r="D244" s="195"/>
      <c r="E244" s="196"/>
      <c r="F244" s="197"/>
      <c r="H244" s="198"/>
      <c r="I244" s="198"/>
    </row>
    <row r="245" ht="19.5" customHeight="1">
      <c r="B245" s="194"/>
      <c r="C245" s="190"/>
      <c r="D245" s="195"/>
      <c r="E245" s="196"/>
      <c r="F245" s="197"/>
      <c r="H245" s="198"/>
      <c r="I245" s="198"/>
    </row>
    <row r="246" ht="19.5" customHeight="1">
      <c r="B246" s="194"/>
      <c r="C246" s="190"/>
      <c r="D246" s="195"/>
      <c r="E246" s="196"/>
      <c r="F246" s="197"/>
      <c r="H246" s="198"/>
      <c r="I246" s="198"/>
    </row>
    <row r="247" ht="19.5" customHeight="1">
      <c r="B247" s="194"/>
      <c r="C247" s="190"/>
      <c r="D247" s="195"/>
      <c r="E247" s="196"/>
      <c r="F247" s="197"/>
      <c r="H247" s="198"/>
      <c r="I247" s="198"/>
    </row>
    <row r="248" ht="19.5" customHeight="1">
      <c r="B248" s="194"/>
      <c r="C248" s="190"/>
      <c r="D248" s="195"/>
      <c r="E248" s="196"/>
      <c r="F248" s="197"/>
      <c r="H248" s="198"/>
      <c r="I248" s="198"/>
    </row>
    <row r="249" ht="19.5" customHeight="1">
      <c r="B249" s="194"/>
      <c r="C249" s="190"/>
      <c r="D249" s="195"/>
      <c r="E249" s="196"/>
      <c r="F249" s="197"/>
      <c r="H249" s="198"/>
      <c r="I249" s="198"/>
    </row>
    <row r="250" ht="19.5" customHeight="1">
      <c r="B250" s="194"/>
      <c r="C250" s="190"/>
      <c r="D250" s="195"/>
      <c r="E250" s="196"/>
      <c r="F250" s="197"/>
      <c r="H250" s="198"/>
      <c r="I250" s="198"/>
    </row>
    <row r="251" ht="19.5" customHeight="1">
      <c r="B251" s="194"/>
      <c r="C251" s="190"/>
      <c r="D251" s="195"/>
      <c r="E251" s="196"/>
      <c r="F251" s="197"/>
      <c r="H251" s="198"/>
      <c r="I251" s="198"/>
    </row>
    <row r="252" ht="19.5" customHeight="1">
      <c r="B252" s="194"/>
      <c r="C252" s="190"/>
      <c r="D252" s="195"/>
      <c r="E252" s="196"/>
      <c r="F252" s="197"/>
      <c r="H252" s="198"/>
      <c r="I252" s="198"/>
    </row>
    <row r="253" ht="19.5" customHeight="1">
      <c r="B253" s="194"/>
      <c r="C253" s="190"/>
      <c r="D253" s="195"/>
      <c r="E253" s="196"/>
      <c r="F253" s="197"/>
      <c r="H253" s="198"/>
      <c r="I253" s="198"/>
    </row>
    <row r="254" ht="19.5" customHeight="1">
      <c r="B254" s="194"/>
      <c r="C254" s="190"/>
      <c r="D254" s="195"/>
      <c r="E254" s="196"/>
      <c r="F254" s="197"/>
      <c r="H254" s="198"/>
      <c r="I254" s="198"/>
    </row>
    <row r="255" ht="19.5" customHeight="1">
      <c r="B255" s="194"/>
      <c r="C255" s="190"/>
      <c r="D255" s="195"/>
      <c r="E255" s="196"/>
      <c r="F255" s="197"/>
      <c r="H255" s="198"/>
      <c r="I255" s="198"/>
    </row>
    <row r="256" ht="19.5" customHeight="1">
      <c r="B256" s="194"/>
      <c r="C256" s="190"/>
      <c r="D256" s="195"/>
      <c r="E256" s="196"/>
      <c r="F256" s="197"/>
      <c r="H256" s="198"/>
      <c r="I256" s="198"/>
    </row>
    <row r="257" ht="19.5" customHeight="1">
      <c r="B257" s="194"/>
      <c r="C257" s="190"/>
      <c r="D257" s="195"/>
      <c r="E257" s="196"/>
      <c r="F257" s="197"/>
      <c r="H257" s="198"/>
      <c r="I257" s="198"/>
    </row>
    <row r="258" ht="19.5" customHeight="1">
      <c r="B258" s="194"/>
      <c r="C258" s="190"/>
      <c r="D258" s="195"/>
      <c r="E258" s="196"/>
      <c r="F258" s="197"/>
      <c r="H258" s="198"/>
      <c r="I258" s="198"/>
    </row>
    <row r="259" ht="19.5" customHeight="1">
      <c r="B259" s="194"/>
      <c r="C259" s="190"/>
      <c r="D259" s="195"/>
      <c r="E259" s="196"/>
      <c r="F259" s="197"/>
      <c r="H259" s="198"/>
      <c r="I259" s="198"/>
    </row>
    <row r="260" ht="19.5" customHeight="1">
      <c r="B260" s="194"/>
      <c r="C260" s="190"/>
      <c r="D260" s="195"/>
      <c r="E260" s="196"/>
      <c r="F260" s="197"/>
      <c r="H260" s="198"/>
      <c r="I260" s="198"/>
    </row>
    <row r="261" ht="19.5" customHeight="1">
      <c r="B261" s="194"/>
      <c r="C261" s="190"/>
      <c r="D261" s="195"/>
      <c r="E261" s="196"/>
      <c r="F261" s="197"/>
      <c r="H261" s="198"/>
      <c r="I261" s="198"/>
    </row>
    <row r="262" ht="19.5" customHeight="1">
      <c r="B262" s="194"/>
      <c r="C262" s="190"/>
      <c r="D262" s="195"/>
      <c r="E262" s="196"/>
      <c r="F262" s="197"/>
      <c r="H262" s="198"/>
      <c r="I262" s="198"/>
    </row>
    <row r="263" ht="19.5" customHeight="1">
      <c r="B263" s="194"/>
      <c r="C263" s="190"/>
      <c r="D263" s="195"/>
      <c r="E263" s="196"/>
      <c r="F263" s="197"/>
      <c r="H263" s="198"/>
      <c r="I263" s="198"/>
    </row>
    <row r="264" ht="19.5" customHeight="1">
      <c r="B264" s="194"/>
      <c r="C264" s="190"/>
      <c r="D264" s="195"/>
      <c r="E264" s="196"/>
      <c r="F264" s="197"/>
      <c r="H264" s="198"/>
      <c r="I264" s="198"/>
    </row>
    <row r="265" ht="19.5" customHeight="1">
      <c r="B265" s="194"/>
      <c r="C265" s="190"/>
      <c r="D265" s="195"/>
      <c r="E265" s="196"/>
      <c r="F265" s="197"/>
      <c r="H265" s="198"/>
      <c r="I265" s="198"/>
    </row>
    <row r="266" ht="19.5" customHeight="1">
      <c r="B266" s="194"/>
      <c r="C266" s="190"/>
      <c r="D266" s="195"/>
      <c r="E266" s="196"/>
      <c r="F266" s="197"/>
      <c r="H266" s="198"/>
      <c r="I266" s="198"/>
    </row>
    <row r="267" ht="19.5" customHeight="1">
      <c r="B267" s="194"/>
      <c r="C267" s="190"/>
      <c r="D267" s="195"/>
      <c r="E267" s="196"/>
      <c r="F267" s="197"/>
      <c r="H267" s="198"/>
      <c r="I267" s="198"/>
    </row>
    <row r="268" ht="19.5" customHeight="1">
      <c r="B268" s="194"/>
      <c r="C268" s="190"/>
      <c r="D268" s="195"/>
      <c r="E268" s="196"/>
      <c r="F268" s="197"/>
      <c r="H268" s="198"/>
      <c r="I268" s="198"/>
    </row>
    <row r="269" ht="19.5" customHeight="1">
      <c r="B269" s="194"/>
      <c r="C269" s="190"/>
      <c r="D269" s="195"/>
      <c r="E269" s="196"/>
      <c r="F269" s="197"/>
      <c r="H269" s="198"/>
      <c r="I269" s="198"/>
    </row>
    <row r="270" ht="19.5" customHeight="1">
      <c r="B270" s="194"/>
      <c r="C270" s="190"/>
      <c r="D270" s="195"/>
      <c r="E270" s="196"/>
      <c r="F270" s="197"/>
      <c r="H270" s="198"/>
      <c r="I270" s="198"/>
    </row>
    <row r="271" ht="19.5" customHeight="1">
      <c r="B271" s="194"/>
      <c r="C271" s="190"/>
      <c r="D271" s="195"/>
      <c r="E271" s="196"/>
      <c r="F271" s="197"/>
      <c r="H271" s="198"/>
      <c r="I271" s="198"/>
    </row>
    <row r="272" ht="19.5" customHeight="1">
      <c r="B272" s="194"/>
      <c r="C272" s="190"/>
      <c r="D272" s="195"/>
      <c r="E272" s="196"/>
      <c r="F272" s="197"/>
      <c r="H272" s="198"/>
      <c r="I272" s="198"/>
    </row>
    <row r="273" ht="19.5" customHeight="1">
      <c r="B273" s="194"/>
      <c r="C273" s="190"/>
      <c r="D273" s="195"/>
      <c r="E273" s="196"/>
      <c r="F273" s="197"/>
      <c r="H273" s="198"/>
      <c r="I273" s="198"/>
    </row>
    <row r="274" ht="19.5" customHeight="1">
      <c r="B274" s="194"/>
      <c r="C274" s="190"/>
      <c r="D274" s="195"/>
      <c r="E274" s="196"/>
      <c r="F274" s="197"/>
      <c r="H274" s="198"/>
      <c r="I274" s="198"/>
    </row>
    <row r="275" ht="19.5" customHeight="1">
      <c r="B275" s="194"/>
      <c r="C275" s="190"/>
      <c r="D275" s="195"/>
      <c r="E275" s="196"/>
      <c r="F275" s="197"/>
      <c r="H275" s="198"/>
      <c r="I275" s="198"/>
    </row>
    <row r="276" ht="19.5" customHeight="1">
      <c r="B276" s="194"/>
      <c r="C276" s="190"/>
      <c r="D276" s="195"/>
      <c r="E276" s="196"/>
      <c r="F276" s="197"/>
      <c r="H276" s="198"/>
      <c r="I276" s="198"/>
    </row>
    <row r="277" ht="19.5" customHeight="1">
      <c r="B277" s="194"/>
      <c r="C277" s="190"/>
      <c r="D277" s="195"/>
      <c r="E277" s="196"/>
      <c r="F277" s="197"/>
      <c r="H277" s="198"/>
      <c r="I277" s="198"/>
    </row>
    <row r="278" ht="19.5" customHeight="1">
      <c r="B278" s="194"/>
      <c r="C278" s="190"/>
      <c r="D278" s="195"/>
      <c r="E278" s="196"/>
      <c r="F278" s="197"/>
      <c r="H278" s="198"/>
      <c r="I278" s="198"/>
    </row>
    <row r="279" ht="19.5" customHeight="1">
      <c r="B279" s="194"/>
      <c r="C279" s="190"/>
      <c r="D279" s="195"/>
      <c r="E279" s="196"/>
      <c r="F279" s="197"/>
      <c r="H279" s="198"/>
      <c r="I279" s="198"/>
    </row>
    <row r="280" ht="19.5" customHeight="1">
      <c r="B280" s="194"/>
      <c r="C280" s="190"/>
      <c r="D280" s="195"/>
      <c r="E280" s="196"/>
      <c r="F280" s="197"/>
      <c r="H280" s="198"/>
      <c r="I280" s="198"/>
    </row>
    <row r="281" ht="19.5" customHeight="1">
      <c r="B281" s="194"/>
      <c r="C281" s="190"/>
      <c r="D281" s="195"/>
      <c r="E281" s="196"/>
      <c r="F281" s="197"/>
      <c r="H281" s="198"/>
      <c r="I281" s="198"/>
    </row>
    <row r="282" ht="19.5" customHeight="1">
      <c r="B282" s="194"/>
      <c r="C282" s="190"/>
      <c r="D282" s="195"/>
      <c r="E282" s="196"/>
      <c r="F282" s="197"/>
      <c r="H282" s="198"/>
      <c r="I282" s="198"/>
    </row>
    <row r="283" ht="19.5" customHeight="1">
      <c r="B283" s="194"/>
      <c r="C283" s="190"/>
      <c r="D283" s="195"/>
      <c r="E283" s="196"/>
      <c r="F283" s="197"/>
      <c r="H283" s="198"/>
      <c r="I283" s="198"/>
    </row>
    <row r="284" ht="19.5" customHeight="1">
      <c r="B284" s="194"/>
      <c r="C284" s="190"/>
      <c r="D284" s="195"/>
      <c r="E284" s="196"/>
      <c r="F284" s="197"/>
      <c r="H284" s="198"/>
      <c r="I284" s="198"/>
    </row>
    <row r="285" ht="19.5" customHeight="1">
      <c r="B285" s="194"/>
      <c r="C285" s="190"/>
      <c r="D285" s="195"/>
      <c r="E285" s="196"/>
      <c r="F285" s="197"/>
      <c r="H285" s="198"/>
      <c r="I285" s="198"/>
    </row>
    <row r="286" ht="19.5" customHeight="1">
      <c r="B286" s="194"/>
      <c r="C286" s="190"/>
      <c r="D286" s="195"/>
      <c r="E286" s="196"/>
      <c r="F286" s="197"/>
      <c r="H286" s="198"/>
      <c r="I286" s="198"/>
    </row>
    <row r="287" ht="19.5" customHeight="1">
      <c r="B287" s="194"/>
      <c r="C287" s="190"/>
      <c r="D287" s="195"/>
      <c r="E287" s="196"/>
      <c r="F287" s="197"/>
      <c r="H287" s="198"/>
      <c r="I287" s="198"/>
    </row>
    <row r="288" ht="19.5" customHeight="1">
      <c r="B288" s="194"/>
      <c r="C288" s="190"/>
      <c r="D288" s="195"/>
      <c r="E288" s="196"/>
      <c r="F288" s="197"/>
      <c r="H288" s="198"/>
      <c r="I288" s="198"/>
    </row>
    <row r="289" ht="19.5" customHeight="1">
      <c r="B289" s="194"/>
      <c r="C289" s="190"/>
      <c r="D289" s="195"/>
      <c r="E289" s="196"/>
      <c r="F289" s="197"/>
      <c r="H289" s="198"/>
      <c r="I289" s="198"/>
    </row>
    <row r="290" ht="19.5" customHeight="1">
      <c r="B290" s="194"/>
      <c r="C290" s="190"/>
      <c r="D290" s="195"/>
      <c r="E290" s="196"/>
      <c r="F290" s="197"/>
      <c r="H290" s="198"/>
      <c r="I290" s="198"/>
    </row>
    <row r="291" ht="19.5" customHeight="1">
      <c r="B291" s="194"/>
      <c r="C291" s="190"/>
      <c r="D291" s="195"/>
      <c r="E291" s="196"/>
      <c r="F291" s="197"/>
      <c r="H291" s="198"/>
      <c r="I291" s="198"/>
    </row>
    <row r="292" ht="19.5" customHeight="1">
      <c r="B292" s="194"/>
      <c r="C292" s="190"/>
      <c r="D292" s="195"/>
      <c r="E292" s="196"/>
      <c r="F292" s="197"/>
      <c r="H292" s="198"/>
      <c r="I292" s="198"/>
    </row>
    <row r="293" ht="19.5" customHeight="1">
      <c r="B293" s="194"/>
      <c r="C293" s="190"/>
      <c r="D293" s="195"/>
      <c r="E293" s="196"/>
      <c r="F293" s="197"/>
      <c r="H293" s="198"/>
      <c r="I293" s="198"/>
    </row>
    <row r="294" ht="19.5" customHeight="1">
      <c r="B294" s="194"/>
      <c r="C294" s="190"/>
      <c r="D294" s="195"/>
      <c r="E294" s="196"/>
      <c r="F294" s="197"/>
      <c r="H294" s="198"/>
      <c r="I294" s="198"/>
    </row>
    <row r="295" ht="19.5" customHeight="1">
      <c r="B295" s="194"/>
      <c r="C295" s="190"/>
      <c r="D295" s="195"/>
      <c r="E295" s="196"/>
      <c r="F295" s="197"/>
      <c r="H295" s="198"/>
      <c r="I295" s="198"/>
    </row>
    <row r="296" ht="19.5" customHeight="1">
      <c r="B296" s="194"/>
      <c r="C296" s="190"/>
      <c r="D296" s="195"/>
      <c r="E296" s="196"/>
      <c r="F296" s="197"/>
      <c r="H296" s="198"/>
      <c r="I296" s="198"/>
    </row>
    <row r="297" ht="19.5" customHeight="1">
      <c r="B297" s="194"/>
      <c r="C297" s="190"/>
      <c r="D297" s="195"/>
      <c r="E297" s="196"/>
      <c r="F297" s="197"/>
      <c r="H297" s="198"/>
      <c r="I297" s="198"/>
    </row>
    <row r="298" ht="19.5" customHeight="1">
      <c r="B298" s="194"/>
      <c r="C298" s="190"/>
      <c r="D298" s="195"/>
      <c r="E298" s="196"/>
      <c r="F298" s="197"/>
      <c r="H298" s="198"/>
      <c r="I298" s="198"/>
    </row>
    <row r="299" ht="19.5" customHeight="1">
      <c r="B299" s="194"/>
      <c r="C299" s="190"/>
      <c r="D299" s="195"/>
      <c r="E299" s="196"/>
      <c r="F299" s="197"/>
      <c r="H299" s="198"/>
      <c r="I299" s="198"/>
    </row>
    <row r="300" ht="19.5" customHeight="1">
      <c r="B300" s="194"/>
      <c r="C300" s="190"/>
      <c r="D300" s="195"/>
      <c r="E300" s="196"/>
      <c r="F300" s="197"/>
      <c r="H300" s="198"/>
      <c r="I300" s="198"/>
    </row>
    <row r="301" ht="19.5" customHeight="1">
      <c r="B301" s="194"/>
      <c r="C301" s="190"/>
      <c r="D301" s="195"/>
      <c r="E301" s="196"/>
      <c r="F301" s="197"/>
      <c r="H301" s="198"/>
      <c r="I301" s="198"/>
    </row>
    <row r="302" ht="19.5" customHeight="1">
      <c r="B302" s="194"/>
      <c r="C302" s="190"/>
      <c r="D302" s="195"/>
      <c r="E302" s="196"/>
      <c r="F302" s="197"/>
      <c r="H302" s="198"/>
      <c r="I302" s="198"/>
    </row>
    <row r="303" ht="19.5" customHeight="1">
      <c r="B303" s="194"/>
      <c r="C303" s="190"/>
      <c r="D303" s="195"/>
      <c r="E303" s="196"/>
      <c r="F303" s="197"/>
      <c r="H303" s="198"/>
      <c r="I303" s="198"/>
    </row>
    <row r="304" ht="19.5" customHeight="1">
      <c r="B304" s="194"/>
      <c r="C304" s="190"/>
      <c r="D304" s="195"/>
      <c r="E304" s="196"/>
      <c r="F304" s="197"/>
      <c r="H304" s="198"/>
      <c r="I304" s="198"/>
    </row>
    <row r="305" ht="19.5" customHeight="1">
      <c r="B305" s="194"/>
      <c r="C305" s="190"/>
      <c r="D305" s="195"/>
      <c r="E305" s="196"/>
      <c r="F305" s="197"/>
      <c r="H305" s="198"/>
      <c r="I305" s="198"/>
    </row>
    <row r="306" ht="19.5" customHeight="1">
      <c r="B306" s="194"/>
      <c r="C306" s="190"/>
      <c r="D306" s="195"/>
      <c r="E306" s="196"/>
      <c r="F306" s="197"/>
      <c r="H306" s="198"/>
      <c r="I306" s="198"/>
    </row>
    <row r="307" ht="19.5" customHeight="1">
      <c r="B307" s="194"/>
      <c r="C307" s="190"/>
      <c r="D307" s="195"/>
      <c r="E307" s="196"/>
      <c r="F307" s="197"/>
      <c r="H307" s="198"/>
      <c r="I307" s="198"/>
    </row>
    <row r="308" ht="19.5" customHeight="1">
      <c r="B308" s="194"/>
      <c r="C308" s="190"/>
      <c r="D308" s="195"/>
      <c r="E308" s="196"/>
      <c r="F308" s="197"/>
      <c r="H308" s="198"/>
      <c r="I308" s="198"/>
    </row>
    <row r="309" ht="19.5" customHeight="1">
      <c r="B309" s="194"/>
      <c r="C309" s="190"/>
      <c r="D309" s="195"/>
      <c r="E309" s="196"/>
      <c r="F309" s="197"/>
      <c r="H309" s="198"/>
      <c r="I309" s="198"/>
    </row>
    <row r="310" ht="19.5" customHeight="1">
      <c r="B310" s="194"/>
      <c r="C310" s="190"/>
      <c r="D310" s="195"/>
      <c r="E310" s="196"/>
      <c r="F310" s="197"/>
      <c r="H310" s="198"/>
      <c r="I310" s="198"/>
    </row>
    <row r="311" ht="19.5" customHeight="1">
      <c r="B311" s="194"/>
      <c r="C311" s="190"/>
      <c r="D311" s="195"/>
      <c r="E311" s="196"/>
      <c r="F311" s="197"/>
      <c r="H311" s="198"/>
      <c r="I311" s="198"/>
    </row>
    <row r="312" ht="19.5" customHeight="1">
      <c r="B312" s="194"/>
      <c r="C312" s="190"/>
      <c r="D312" s="195"/>
      <c r="E312" s="196"/>
      <c r="F312" s="197"/>
      <c r="H312" s="198"/>
      <c r="I312" s="198"/>
    </row>
    <row r="313" ht="19.5" customHeight="1">
      <c r="B313" s="194"/>
      <c r="C313" s="190"/>
      <c r="D313" s="195"/>
      <c r="E313" s="196"/>
      <c r="F313" s="197"/>
      <c r="H313" s="198"/>
      <c r="I313" s="198"/>
    </row>
    <row r="314" ht="19.5" customHeight="1">
      <c r="B314" s="194"/>
      <c r="C314" s="190"/>
      <c r="D314" s="195"/>
      <c r="E314" s="196"/>
      <c r="F314" s="197"/>
      <c r="H314" s="198"/>
      <c r="I314" s="198"/>
    </row>
    <row r="315" ht="19.5" customHeight="1">
      <c r="B315" s="194"/>
      <c r="C315" s="190"/>
      <c r="D315" s="195"/>
      <c r="E315" s="196"/>
      <c r="F315" s="197"/>
      <c r="H315" s="198"/>
      <c r="I315" s="198"/>
    </row>
    <row r="316" ht="19.5" customHeight="1">
      <c r="B316" s="194"/>
      <c r="C316" s="190"/>
      <c r="D316" s="195"/>
      <c r="E316" s="196"/>
      <c r="F316" s="197"/>
      <c r="H316" s="198"/>
      <c r="I316" s="198"/>
    </row>
    <row r="317" ht="19.5" customHeight="1">
      <c r="B317" s="194"/>
      <c r="C317" s="190"/>
      <c r="D317" s="195"/>
      <c r="E317" s="196"/>
      <c r="F317" s="197"/>
      <c r="H317" s="198"/>
      <c r="I317" s="198"/>
    </row>
    <row r="318" ht="19.5" customHeight="1">
      <c r="B318" s="194"/>
      <c r="C318" s="190"/>
      <c r="D318" s="195"/>
      <c r="E318" s="196"/>
      <c r="F318" s="197"/>
      <c r="H318" s="198"/>
      <c r="I318" s="198"/>
    </row>
    <row r="319" ht="19.5" customHeight="1">
      <c r="B319" s="194"/>
      <c r="C319" s="190"/>
      <c r="D319" s="195"/>
      <c r="E319" s="196"/>
      <c r="F319" s="197"/>
      <c r="H319" s="198"/>
      <c r="I319" s="198"/>
    </row>
    <row r="320" ht="19.5" customHeight="1">
      <c r="B320" s="194"/>
      <c r="C320" s="190"/>
      <c r="D320" s="195"/>
      <c r="E320" s="196"/>
      <c r="F320" s="197"/>
      <c r="H320" s="198"/>
      <c r="I320" s="198"/>
    </row>
    <row r="321" ht="19.5" customHeight="1">
      <c r="B321" s="194"/>
      <c r="C321" s="190"/>
      <c r="D321" s="195"/>
      <c r="E321" s="196"/>
      <c r="F321" s="197"/>
      <c r="H321" s="198"/>
      <c r="I321" s="198"/>
    </row>
    <row r="322" ht="19.5" customHeight="1">
      <c r="B322" s="194"/>
      <c r="C322" s="190"/>
      <c r="D322" s="195"/>
      <c r="E322" s="196"/>
      <c r="F322" s="197"/>
      <c r="H322" s="198"/>
      <c r="I322" s="198"/>
    </row>
    <row r="323" ht="19.5" customHeight="1">
      <c r="B323" s="194"/>
      <c r="C323" s="190"/>
      <c r="D323" s="195"/>
      <c r="E323" s="196"/>
      <c r="F323" s="197"/>
      <c r="H323" s="198"/>
      <c r="I323" s="198"/>
    </row>
    <row r="324" ht="19.5" customHeight="1">
      <c r="B324" s="194"/>
      <c r="C324" s="190"/>
      <c r="D324" s="195"/>
      <c r="E324" s="196"/>
      <c r="F324" s="197"/>
      <c r="H324" s="198"/>
      <c r="I324" s="198"/>
    </row>
    <row r="325" ht="19.5" customHeight="1">
      <c r="B325" s="194"/>
      <c r="C325" s="190"/>
      <c r="D325" s="195"/>
      <c r="E325" s="196"/>
      <c r="F325" s="197"/>
      <c r="H325" s="198"/>
      <c r="I325" s="198"/>
    </row>
    <row r="326" ht="19.5" customHeight="1">
      <c r="B326" s="194"/>
      <c r="C326" s="190"/>
      <c r="D326" s="195"/>
      <c r="E326" s="196"/>
      <c r="F326" s="197"/>
      <c r="H326" s="198"/>
      <c r="I326" s="198"/>
    </row>
    <row r="327" ht="19.5" customHeight="1">
      <c r="B327" s="194"/>
      <c r="C327" s="190"/>
      <c r="D327" s="195"/>
      <c r="E327" s="196"/>
      <c r="F327" s="197"/>
      <c r="H327" s="198"/>
      <c r="I327" s="198"/>
    </row>
    <row r="328" ht="19.5" customHeight="1">
      <c r="B328" s="194"/>
      <c r="C328" s="190"/>
      <c r="D328" s="195"/>
      <c r="E328" s="196"/>
      <c r="F328" s="197"/>
      <c r="H328" s="198"/>
      <c r="I328" s="198"/>
    </row>
    <row r="329" ht="19.5" customHeight="1">
      <c r="B329" s="194"/>
      <c r="C329" s="190"/>
      <c r="D329" s="195"/>
      <c r="E329" s="196"/>
      <c r="F329" s="197"/>
      <c r="H329" s="198"/>
      <c r="I329" s="198"/>
    </row>
    <row r="330" ht="19.5" customHeight="1">
      <c r="B330" s="194"/>
      <c r="C330" s="190"/>
      <c r="D330" s="195"/>
      <c r="E330" s="196"/>
      <c r="F330" s="197"/>
      <c r="H330" s="198"/>
      <c r="I330" s="198"/>
    </row>
    <row r="331" ht="19.5" customHeight="1">
      <c r="B331" s="194"/>
      <c r="C331" s="190"/>
      <c r="D331" s="195"/>
      <c r="E331" s="196"/>
      <c r="F331" s="197"/>
      <c r="H331" s="198"/>
      <c r="I331" s="198"/>
    </row>
    <row r="332" ht="19.5" customHeight="1">
      <c r="B332" s="194"/>
      <c r="C332" s="190"/>
      <c r="D332" s="195"/>
      <c r="E332" s="196"/>
      <c r="F332" s="197"/>
      <c r="H332" s="198"/>
      <c r="I332" s="198"/>
    </row>
    <row r="333" ht="19.5" customHeight="1">
      <c r="B333" s="194"/>
      <c r="C333" s="190"/>
      <c r="D333" s="195"/>
      <c r="E333" s="196"/>
      <c r="F333" s="197"/>
      <c r="H333" s="198"/>
      <c r="I333" s="198"/>
    </row>
    <row r="334" ht="19.5" customHeight="1">
      <c r="B334" s="194"/>
      <c r="C334" s="190"/>
      <c r="D334" s="195"/>
      <c r="E334" s="196"/>
      <c r="F334" s="197"/>
      <c r="H334" s="198"/>
      <c r="I334" s="198"/>
    </row>
    <row r="335" ht="19.5" customHeight="1">
      <c r="B335" s="194"/>
      <c r="C335" s="190"/>
      <c r="D335" s="195"/>
      <c r="E335" s="196"/>
      <c r="F335" s="197"/>
      <c r="H335" s="198"/>
      <c r="I335" s="198"/>
    </row>
    <row r="336" ht="19.5" customHeight="1">
      <c r="B336" s="194"/>
      <c r="C336" s="190"/>
      <c r="D336" s="195"/>
      <c r="E336" s="196"/>
      <c r="F336" s="197"/>
      <c r="H336" s="198"/>
      <c r="I336" s="198"/>
    </row>
    <row r="337" ht="19.5" customHeight="1">
      <c r="B337" s="194"/>
      <c r="C337" s="190"/>
      <c r="D337" s="195"/>
      <c r="E337" s="196"/>
      <c r="F337" s="197"/>
      <c r="H337" s="198"/>
      <c r="I337" s="198"/>
    </row>
    <row r="338" ht="19.5" customHeight="1">
      <c r="B338" s="194"/>
      <c r="C338" s="190"/>
      <c r="D338" s="195"/>
      <c r="E338" s="196"/>
      <c r="F338" s="197"/>
      <c r="H338" s="198"/>
      <c r="I338" s="198"/>
    </row>
    <row r="339" ht="19.5" customHeight="1">
      <c r="B339" s="194"/>
      <c r="C339" s="190"/>
      <c r="D339" s="195"/>
      <c r="E339" s="196"/>
      <c r="F339" s="197"/>
      <c r="H339" s="198"/>
      <c r="I339" s="198"/>
    </row>
    <row r="340" ht="19.5" customHeight="1">
      <c r="B340" s="194"/>
      <c r="C340" s="190"/>
      <c r="D340" s="195"/>
      <c r="E340" s="196"/>
      <c r="F340" s="197"/>
      <c r="H340" s="198"/>
      <c r="I340" s="198"/>
    </row>
    <row r="341" ht="19.5" customHeight="1">
      <c r="B341" s="194"/>
      <c r="C341" s="190"/>
      <c r="D341" s="195"/>
      <c r="E341" s="196"/>
      <c r="F341" s="197"/>
      <c r="H341" s="198"/>
      <c r="I341" s="198"/>
    </row>
    <row r="342" ht="19.5" customHeight="1">
      <c r="B342" s="194"/>
      <c r="C342" s="190"/>
      <c r="D342" s="195"/>
      <c r="E342" s="196"/>
      <c r="F342" s="197"/>
      <c r="H342" s="198"/>
      <c r="I342" s="198"/>
    </row>
    <row r="343" ht="19.5" customHeight="1">
      <c r="B343" s="194"/>
      <c r="C343" s="190"/>
      <c r="D343" s="195"/>
      <c r="E343" s="196"/>
      <c r="F343" s="197"/>
      <c r="H343" s="198"/>
      <c r="I343" s="198"/>
    </row>
    <row r="344" ht="19.5" customHeight="1">
      <c r="B344" s="194"/>
      <c r="C344" s="190"/>
      <c r="D344" s="195"/>
      <c r="E344" s="196"/>
      <c r="F344" s="197"/>
      <c r="H344" s="198"/>
      <c r="I344" s="198"/>
    </row>
    <row r="345" ht="19.5" customHeight="1">
      <c r="B345" s="194"/>
      <c r="C345" s="190"/>
      <c r="D345" s="195"/>
      <c r="E345" s="196"/>
      <c r="F345" s="197"/>
      <c r="H345" s="198"/>
      <c r="I345" s="198"/>
    </row>
    <row r="346" ht="19.5" customHeight="1">
      <c r="B346" s="194"/>
      <c r="C346" s="190"/>
      <c r="D346" s="195"/>
      <c r="E346" s="196"/>
      <c r="F346" s="197"/>
      <c r="H346" s="198"/>
      <c r="I346" s="198"/>
    </row>
    <row r="347" ht="19.5" customHeight="1">
      <c r="B347" s="194"/>
      <c r="C347" s="190"/>
      <c r="D347" s="195"/>
      <c r="E347" s="196"/>
      <c r="F347" s="197"/>
      <c r="H347" s="198"/>
      <c r="I347" s="198"/>
    </row>
    <row r="348" ht="19.5" customHeight="1">
      <c r="B348" s="194"/>
      <c r="C348" s="190"/>
      <c r="D348" s="195"/>
      <c r="E348" s="196"/>
      <c r="F348" s="197"/>
      <c r="H348" s="198"/>
      <c r="I348" s="198"/>
    </row>
    <row r="349" ht="19.5" customHeight="1">
      <c r="B349" s="194"/>
      <c r="C349" s="190"/>
      <c r="D349" s="195"/>
      <c r="E349" s="196"/>
      <c r="F349" s="197"/>
      <c r="H349" s="198"/>
      <c r="I349" s="198"/>
    </row>
    <row r="350" ht="19.5" customHeight="1">
      <c r="B350" s="194"/>
      <c r="C350" s="190"/>
      <c r="D350" s="195"/>
      <c r="E350" s="196"/>
      <c r="F350" s="197"/>
      <c r="H350" s="198"/>
      <c r="I350" s="198"/>
    </row>
    <row r="351" ht="19.5" customHeight="1">
      <c r="B351" s="194"/>
      <c r="C351" s="190"/>
      <c r="D351" s="195"/>
      <c r="E351" s="196"/>
      <c r="F351" s="197"/>
      <c r="H351" s="198"/>
      <c r="I351" s="198"/>
    </row>
    <row r="352" ht="19.5" customHeight="1">
      <c r="B352" s="194"/>
      <c r="C352" s="190"/>
      <c r="D352" s="195"/>
      <c r="E352" s="196"/>
      <c r="F352" s="197"/>
      <c r="H352" s="198"/>
      <c r="I352" s="198"/>
    </row>
    <row r="353" ht="19.5" customHeight="1">
      <c r="B353" s="194"/>
      <c r="C353" s="190"/>
      <c r="D353" s="195"/>
      <c r="E353" s="196"/>
      <c r="F353" s="197"/>
      <c r="H353" s="198"/>
      <c r="I353" s="198"/>
    </row>
    <row r="354" ht="19.5" customHeight="1">
      <c r="B354" s="194"/>
      <c r="C354" s="190"/>
      <c r="D354" s="195"/>
      <c r="E354" s="196"/>
      <c r="F354" s="197"/>
      <c r="H354" s="198"/>
      <c r="I354" s="198"/>
    </row>
    <row r="355" ht="19.5" customHeight="1">
      <c r="B355" s="194"/>
      <c r="C355" s="190"/>
      <c r="D355" s="195"/>
      <c r="E355" s="196"/>
      <c r="F355" s="197"/>
      <c r="H355" s="198"/>
      <c r="I355" s="198"/>
    </row>
    <row r="356" ht="19.5" customHeight="1">
      <c r="B356" s="194"/>
      <c r="C356" s="190"/>
      <c r="D356" s="195"/>
      <c r="E356" s="196"/>
      <c r="F356" s="197"/>
      <c r="H356" s="198"/>
      <c r="I356" s="198"/>
    </row>
    <row r="357" ht="19.5" customHeight="1">
      <c r="B357" s="194"/>
      <c r="C357" s="190"/>
      <c r="D357" s="195"/>
      <c r="E357" s="196"/>
      <c r="F357" s="197"/>
      <c r="H357" s="198"/>
      <c r="I357" s="198"/>
    </row>
    <row r="358" ht="19.5" customHeight="1">
      <c r="B358" s="194"/>
      <c r="C358" s="190"/>
      <c r="D358" s="195"/>
      <c r="E358" s="196"/>
      <c r="F358" s="197"/>
      <c r="H358" s="198"/>
      <c r="I358" s="198"/>
    </row>
    <row r="359" ht="19.5" customHeight="1">
      <c r="B359" s="194"/>
      <c r="C359" s="190"/>
      <c r="D359" s="195"/>
      <c r="E359" s="196"/>
      <c r="F359" s="197"/>
      <c r="H359" s="198"/>
      <c r="I359" s="198"/>
    </row>
    <row r="360" ht="19.5" customHeight="1">
      <c r="B360" s="194"/>
      <c r="C360" s="190"/>
      <c r="D360" s="195"/>
      <c r="E360" s="196"/>
      <c r="F360" s="197"/>
      <c r="H360" s="198"/>
      <c r="I360" s="198"/>
    </row>
    <row r="361" ht="19.5" customHeight="1">
      <c r="B361" s="194"/>
      <c r="C361" s="190"/>
      <c r="D361" s="195"/>
      <c r="E361" s="196"/>
      <c r="F361" s="197"/>
      <c r="H361" s="198"/>
      <c r="I361" s="198"/>
    </row>
    <row r="362" ht="19.5" customHeight="1">
      <c r="B362" s="194"/>
      <c r="C362" s="190"/>
      <c r="D362" s="195"/>
      <c r="E362" s="196"/>
      <c r="F362" s="197"/>
      <c r="H362" s="198"/>
      <c r="I362" s="198"/>
    </row>
    <row r="363" ht="19.5" customHeight="1">
      <c r="B363" s="194"/>
      <c r="C363" s="190"/>
      <c r="D363" s="195"/>
      <c r="E363" s="196"/>
      <c r="F363" s="197"/>
      <c r="H363" s="198"/>
      <c r="I363" s="198"/>
    </row>
    <row r="364" ht="19.5" customHeight="1">
      <c r="B364" s="194"/>
      <c r="C364" s="190"/>
      <c r="D364" s="195"/>
      <c r="E364" s="196"/>
      <c r="F364" s="197"/>
      <c r="H364" s="198"/>
      <c r="I364" s="198"/>
    </row>
    <row r="365" ht="19.5" customHeight="1">
      <c r="B365" s="194"/>
      <c r="C365" s="190"/>
      <c r="D365" s="195"/>
      <c r="E365" s="196"/>
      <c r="F365" s="197"/>
      <c r="H365" s="198"/>
      <c r="I365" s="198"/>
    </row>
    <row r="366" ht="19.5" customHeight="1">
      <c r="B366" s="194"/>
      <c r="C366" s="190"/>
      <c r="D366" s="195"/>
      <c r="E366" s="196"/>
      <c r="F366" s="197"/>
      <c r="H366" s="198"/>
      <c r="I366" s="198"/>
    </row>
    <row r="367" ht="19.5" customHeight="1">
      <c r="B367" s="194"/>
      <c r="C367" s="190"/>
      <c r="D367" s="195"/>
      <c r="E367" s="196"/>
      <c r="F367" s="197"/>
      <c r="H367" s="198"/>
      <c r="I367" s="198"/>
    </row>
    <row r="368" ht="19.5" customHeight="1">
      <c r="B368" s="194"/>
      <c r="C368" s="190"/>
      <c r="D368" s="195"/>
      <c r="E368" s="196"/>
      <c r="F368" s="197"/>
      <c r="H368" s="198"/>
      <c r="I368" s="198"/>
    </row>
    <row r="369" ht="19.5" customHeight="1">
      <c r="B369" s="194"/>
      <c r="C369" s="190"/>
      <c r="D369" s="195"/>
      <c r="E369" s="196"/>
      <c r="F369" s="197"/>
      <c r="H369" s="198"/>
      <c r="I369" s="198"/>
    </row>
    <row r="370" ht="19.5" customHeight="1">
      <c r="B370" s="194"/>
      <c r="C370" s="190"/>
      <c r="D370" s="195"/>
      <c r="E370" s="196"/>
      <c r="F370" s="197"/>
      <c r="H370" s="198"/>
      <c r="I370" s="198"/>
    </row>
    <row r="371" ht="19.5" customHeight="1">
      <c r="B371" s="194"/>
      <c r="C371" s="190"/>
      <c r="D371" s="195"/>
      <c r="E371" s="196"/>
      <c r="F371" s="197"/>
      <c r="H371" s="198"/>
      <c r="I371" s="198"/>
    </row>
    <row r="372" ht="19.5" customHeight="1">
      <c r="B372" s="194"/>
      <c r="C372" s="190"/>
      <c r="D372" s="195"/>
      <c r="E372" s="196"/>
      <c r="F372" s="197"/>
      <c r="H372" s="198"/>
      <c r="I372" s="198"/>
    </row>
    <row r="373" ht="19.5" customHeight="1">
      <c r="B373" s="194"/>
      <c r="C373" s="190"/>
      <c r="D373" s="195"/>
      <c r="E373" s="196"/>
      <c r="F373" s="197"/>
      <c r="H373" s="198"/>
      <c r="I373" s="198"/>
    </row>
    <row r="374" ht="19.5" customHeight="1">
      <c r="B374" s="194"/>
      <c r="C374" s="190"/>
      <c r="D374" s="195"/>
      <c r="E374" s="196"/>
      <c r="F374" s="197"/>
      <c r="H374" s="198"/>
      <c r="I374" s="198"/>
    </row>
    <row r="375" ht="19.5" customHeight="1">
      <c r="B375" s="194"/>
      <c r="C375" s="190"/>
      <c r="D375" s="195"/>
      <c r="E375" s="196"/>
      <c r="F375" s="197"/>
      <c r="H375" s="198"/>
      <c r="I375" s="198"/>
    </row>
    <row r="376" ht="19.5" customHeight="1">
      <c r="B376" s="194"/>
      <c r="C376" s="190"/>
      <c r="D376" s="195"/>
      <c r="E376" s="196"/>
      <c r="F376" s="197"/>
      <c r="H376" s="198"/>
      <c r="I376" s="198"/>
    </row>
    <row r="377" ht="19.5" customHeight="1">
      <c r="B377" s="194"/>
      <c r="C377" s="190"/>
      <c r="D377" s="195"/>
      <c r="E377" s="196"/>
      <c r="F377" s="197"/>
      <c r="H377" s="198"/>
      <c r="I377" s="198"/>
    </row>
    <row r="378" ht="19.5" customHeight="1">
      <c r="B378" s="194"/>
      <c r="C378" s="190"/>
      <c r="D378" s="195"/>
      <c r="E378" s="196"/>
      <c r="F378" s="197"/>
      <c r="H378" s="198"/>
      <c r="I378" s="198"/>
    </row>
    <row r="379" ht="19.5" customHeight="1">
      <c r="B379" s="194"/>
      <c r="C379" s="190"/>
      <c r="D379" s="195"/>
      <c r="E379" s="196"/>
      <c r="F379" s="197"/>
      <c r="H379" s="198"/>
      <c r="I379" s="198"/>
    </row>
    <row r="380" ht="19.5" customHeight="1">
      <c r="B380" s="194"/>
      <c r="C380" s="190"/>
      <c r="D380" s="195"/>
      <c r="E380" s="196"/>
      <c r="F380" s="197"/>
      <c r="H380" s="198"/>
      <c r="I380" s="198"/>
    </row>
    <row r="381" ht="19.5" customHeight="1">
      <c r="B381" s="194"/>
      <c r="C381" s="190"/>
      <c r="D381" s="195"/>
      <c r="E381" s="196"/>
      <c r="F381" s="197"/>
      <c r="H381" s="198"/>
      <c r="I381" s="198"/>
    </row>
    <row r="382" ht="19.5" customHeight="1">
      <c r="B382" s="194"/>
      <c r="C382" s="190"/>
      <c r="D382" s="195"/>
      <c r="E382" s="196"/>
      <c r="F382" s="197"/>
      <c r="H382" s="198"/>
      <c r="I382" s="198"/>
    </row>
    <row r="383" ht="19.5" customHeight="1">
      <c r="B383" s="194"/>
      <c r="C383" s="190"/>
      <c r="D383" s="195"/>
      <c r="E383" s="196"/>
      <c r="F383" s="197"/>
      <c r="H383" s="198"/>
      <c r="I383" s="198"/>
    </row>
    <row r="384" ht="19.5" customHeight="1">
      <c r="B384" s="194"/>
      <c r="C384" s="190"/>
      <c r="D384" s="195"/>
      <c r="E384" s="196"/>
      <c r="F384" s="197"/>
      <c r="H384" s="198"/>
      <c r="I384" s="198"/>
    </row>
    <row r="385" ht="19.5" customHeight="1">
      <c r="B385" s="194"/>
      <c r="C385" s="190"/>
      <c r="D385" s="195"/>
      <c r="E385" s="196"/>
      <c r="F385" s="197"/>
      <c r="H385" s="198"/>
      <c r="I385" s="198"/>
    </row>
    <row r="386" ht="19.5" customHeight="1">
      <c r="B386" s="194"/>
      <c r="C386" s="190"/>
      <c r="D386" s="195"/>
      <c r="E386" s="196"/>
      <c r="F386" s="197"/>
      <c r="H386" s="198"/>
      <c r="I386" s="198"/>
    </row>
    <row r="387" ht="19.5" customHeight="1">
      <c r="B387" s="194"/>
      <c r="C387" s="190"/>
      <c r="D387" s="195"/>
      <c r="E387" s="196"/>
      <c r="F387" s="197"/>
      <c r="H387" s="198"/>
      <c r="I387" s="198"/>
    </row>
    <row r="388" ht="19.5" customHeight="1">
      <c r="B388" s="194"/>
      <c r="C388" s="190"/>
      <c r="D388" s="195"/>
      <c r="E388" s="196"/>
      <c r="F388" s="197"/>
      <c r="H388" s="198"/>
      <c r="I388" s="198"/>
    </row>
    <row r="389" ht="19.5" customHeight="1">
      <c r="B389" s="194"/>
      <c r="C389" s="190"/>
      <c r="D389" s="195"/>
      <c r="E389" s="196"/>
      <c r="F389" s="197"/>
      <c r="H389" s="198"/>
      <c r="I389" s="198"/>
    </row>
    <row r="390" ht="19.5" customHeight="1">
      <c r="B390" s="194"/>
      <c r="C390" s="190"/>
      <c r="D390" s="195"/>
      <c r="E390" s="196"/>
      <c r="F390" s="197"/>
      <c r="H390" s="198"/>
      <c r="I390" s="198"/>
    </row>
    <row r="391" ht="19.5" customHeight="1">
      <c r="B391" s="194"/>
      <c r="C391" s="190"/>
      <c r="D391" s="195"/>
      <c r="E391" s="196"/>
      <c r="F391" s="197"/>
      <c r="H391" s="198"/>
      <c r="I391" s="198"/>
    </row>
    <row r="392" ht="19.5" customHeight="1">
      <c r="B392" s="194"/>
      <c r="C392" s="190"/>
      <c r="D392" s="195"/>
      <c r="E392" s="196"/>
      <c r="F392" s="197"/>
      <c r="H392" s="198"/>
      <c r="I392" s="198"/>
    </row>
    <row r="393" ht="19.5" customHeight="1">
      <c r="B393" s="194"/>
      <c r="C393" s="190"/>
      <c r="D393" s="195"/>
      <c r="E393" s="196"/>
      <c r="F393" s="197"/>
      <c r="H393" s="198"/>
      <c r="I393" s="198"/>
    </row>
    <row r="394" ht="19.5" customHeight="1">
      <c r="B394" s="194"/>
      <c r="C394" s="190"/>
      <c r="D394" s="195"/>
      <c r="E394" s="196"/>
      <c r="F394" s="197"/>
      <c r="H394" s="198"/>
      <c r="I394" s="198"/>
    </row>
    <row r="395" ht="19.5" customHeight="1">
      <c r="B395" s="194"/>
      <c r="C395" s="190"/>
      <c r="D395" s="195"/>
      <c r="E395" s="196"/>
      <c r="F395" s="197"/>
      <c r="H395" s="198"/>
      <c r="I395" s="198"/>
    </row>
    <row r="396" ht="19.5" customHeight="1">
      <c r="B396" s="194"/>
      <c r="C396" s="190"/>
      <c r="D396" s="195"/>
      <c r="E396" s="196"/>
      <c r="F396" s="197"/>
      <c r="H396" s="198"/>
      <c r="I396" s="198"/>
    </row>
    <row r="397" ht="19.5" customHeight="1">
      <c r="B397" s="194"/>
      <c r="C397" s="190"/>
      <c r="D397" s="195"/>
      <c r="E397" s="196"/>
      <c r="F397" s="197"/>
      <c r="H397" s="198"/>
      <c r="I397" s="198"/>
    </row>
    <row r="398" ht="19.5" customHeight="1">
      <c r="B398" s="194"/>
      <c r="C398" s="190"/>
      <c r="D398" s="195"/>
      <c r="E398" s="196"/>
      <c r="F398" s="197"/>
      <c r="H398" s="198"/>
      <c r="I398" s="198"/>
    </row>
    <row r="399" ht="19.5" customHeight="1">
      <c r="B399" s="194"/>
      <c r="C399" s="190"/>
      <c r="D399" s="195"/>
      <c r="E399" s="196"/>
      <c r="F399" s="197"/>
      <c r="H399" s="198"/>
      <c r="I399" s="198"/>
    </row>
    <row r="400" ht="19.5" customHeight="1">
      <c r="B400" s="194"/>
      <c r="C400" s="190"/>
      <c r="D400" s="195"/>
      <c r="E400" s="196"/>
      <c r="F400" s="197"/>
      <c r="H400" s="198"/>
      <c r="I400" s="198"/>
    </row>
    <row r="401" ht="19.5" customHeight="1">
      <c r="B401" s="194"/>
      <c r="C401" s="190"/>
      <c r="D401" s="195"/>
      <c r="E401" s="196"/>
      <c r="F401" s="197"/>
      <c r="H401" s="198"/>
      <c r="I401" s="198"/>
    </row>
    <row r="402" ht="19.5" customHeight="1">
      <c r="B402" s="194"/>
      <c r="C402" s="190"/>
      <c r="D402" s="195"/>
      <c r="E402" s="196"/>
      <c r="F402" s="197"/>
      <c r="H402" s="198"/>
      <c r="I402" s="198"/>
    </row>
    <row r="403" ht="19.5" customHeight="1">
      <c r="B403" s="194"/>
      <c r="C403" s="190"/>
      <c r="D403" s="195"/>
      <c r="E403" s="196"/>
      <c r="F403" s="197"/>
      <c r="H403" s="198"/>
      <c r="I403" s="198"/>
    </row>
    <row r="404" ht="19.5" customHeight="1">
      <c r="B404" s="194"/>
      <c r="C404" s="190"/>
      <c r="D404" s="195"/>
      <c r="E404" s="196"/>
      <c r="F404" s="197"/>
      <c r="H404" s="198"/>
      <c r="I404" s="198"/>
    </row>
    <row r="405" ht="19.5" customHeight="1">
      <c r="B405" s="194"/>
      <c r="C405" s="190"/>
      <c r="D405" s="195"/>
      <c r="E405" s="196"/>
      <c r="F405" s="197"/>
      <c r="H405" s="198"/>
      <c r="I405" s="198"/>
    </row>
    <row r="406" ht="19.5" customHeight="1">
      <c r="B406" s="194"/>
      <c r="C406" s="190"/>
      <c r="D406" s="195"/>
      <c r="E406" s="196"/>
      <c r="F406" s="197"/>
      <c r="H406" s="198"/>
      <c r="I406" s="198"/>
    </row>
    <row r="407" ht="19.5" customHeight="1">
      <c r="B407" s="194"/>
      <c r="C407" s="190"/>
      <c r="D407" s="195"/>
      <c r="E407" s="196"/>
      <c r="F407" s="197"/>
      <c r="H407" s="198"/>
      <c r="I407" s="198"/>
    </row>
    <row r="408" ht="19.5" customHeight="1">
      <c r="B408" s="194"/>
      <c r="C408" s="190"/>
      <c r="D408" s="195"/>
      <c r="E408" s="196"/>
      <c r="F408" s="197"/>
      <c r="H408" s="198"/>
      <c r="I408" s="198"/>
    </row>
    <row r="409" ht="19.5" customHeight="1">
      <c r="B409" s="194"/>
      <c r="C409" s="190"/>
      <c r="D409" s="195"/>
      <c r="E409" s="196"/>
      <c r="F409" s="197"/>
      <c r="H409" s="198"/>
      <c r="I409" s="198"/>
    </row>
    <row r="410" ht="19.5" customHeight="1">
      <c r="B410" s="194"/>
      <c r="C410" s="190"/>
      <c r="D410" s="195"/>
      <c r="E410" s="196"/>
      <c r="F410" s="197"/>
      <c r="H410" s="198"/>
      <c r="I410" s="198"/>
    </row>
    <row r="411" ht="19.5" customHeight="1">
      <c r="B411" s="194"/>
      <c r="C411" s="190"/>
      <c r="D411" s="195"/>
      <c r="E411" s="196"/>
      <c r="F411" s="197"/>
      <c r="H411" s="198"/>
      <c r="I411" s="198"/>
    </row>
    <row r="412" ht="19.5" customHeight="1">
      <c r="B412" s="194"/>
      <c r="C412" s="190"/>
      <c r="D412" s="195"/>
      <c r="E412" s="196"/>
      <c r="F412" s="197"/>
      <c r="H412" s="198"/>
      <c r="I412" s="198"/>
    </row>
    <row r="413" ht="19.5" customHeight="1">
      <c r="B413" s="194"/>
      <c r="C413" s="190"/>
      <c r="D413" s="195"/>
      <c r="E413" s="196"/>
      <c r="F413" s="197"/>
      <c r="H413" s="198"/>
      <c r="I413" s="198"/>
    </row>
    <row r="414" ht="19.5" customHeight="1">
      <c r="B414" s="194"/>
      <c r="C414" s="190"/>
      <c r="D414" s="195"/>
      <c r="E414" s="196"/>
      <c r="F414" s="197"/>
      <c r="H414" s="198"/>
      <c r="I414" s="198"/>
    </row>
    <row r="415" ht="19.5" customHeight="1">
      <c r="B415" s="194"/>
      <c r="C415" s="190"/>
      <c r="D415" s="195"/>
      <c r="E415" s="196"/>
      <c r="F415" s="197"/>
      <c r="H415" s="198"/>
      <c r="I415" s="198"/>
    </row>
    <row r="416" ht="19.5" customHeight="1">
      <c r="B416" s="194"/>
      <c r="C416" s="190"/>
      <c r="D416" s="195"/>
      <c r="E416" s="196"/>
      <c r="F416" s="197"/>
      <c r="H416" s="198"/>
      <c r="I416" s="198"/>
    </row>
    <row r="417" ht="19.5" customHeight="1">
      <c r="B417" s="194"/>
      <c r="C417" s="190"/>
      <c r="D417" s="195"/>
      <c r="E417" s="196"/>
      <c r="F417" s="197"/>
      <c r="H417" s="198"/>
      <c r="I417" s="198"/>
    </row>
    <row r="418" ht="19.5" customHeight="1">
      <c r="B418" s="194"/>
      <c r="C418" s="190"/>
      <c r="D418" s="195"/>
      <c r="E418" s="196"/>
      <c r="F418" s="197"/>
      <c r="H418" s="198"/>
      <c r="I418" s="198"/>
    </row>
    <row r="419" ht="19.5" customHeight="1">
      <c r="B419" s="194"/>
      <c r="C419" s="190"/>
      <c r="D419" s="195"/>
      <c r="E419" s="196"/>
      <c r="F419" s="197"/>
      <c r="H419" s="198"/>
      <c r="I419" s="198"/>
    </row>
    <row r="420" ht="19.5" customHeight="1">
      <c r="B420" s="194"/>
      <c r="C420" s="190"/>
      <c r="D420" s="195"/>
      <c r="E420" s="196"/>
      <c r="F420" s="197"/>
      <c r="H420" s="198"/>
      <c r="I420" s="198"/>
    </row>
    <row r="421" ht="19.5" customHeight="1">
      <c r="B421" s="194"/>
      <c r="C421" s="190"/>
      <c r="D421" s="195"/>
      <c r="E421" s="196"/>
      <c r="F421" s="197"/>
      <c r="H421" s="198"/>
      <c r="I421" s="198"/>
    </row>
    <row r="422" ht="19.5" customHeight="1">
      <c r="B422" s="194"/>
      <c r="C422" s="190"/>
      <c r="D422" s="195"/>
      <c r="E422" s="196"/>
      <c r="F422" s="197"/>
      <c r="H422" s="198"/>
      <c r="I422" s="198"/>
    </row>
    <row r="423" ht="19.5" customHeight="1">
      <c r="B423" s="194"/>
      <c r="C423" s="190"/>
      <c r="D423" s="195"/>
      <c r="E423" s="196"/>
      <c r="F423" s="197"/>
      <c r="H423" s="198"/>
      <c r="I423" s="198"/>
    </row>
    <row r="424" ht="19.5" customHeight="1">
      <c r="B424" s="194"/>
      <c r="C424" s="190"/>
      <c r="D424" s="195"/>
      <c r="E424" s="196"/>
      <c r="F424" s="197"/>
      <c r="H424" s="198"/>
      <c r="I424" s="198"/>
    </row>
    <row r="425" ht="19.5" customHeight="1">
      <c r="B425" s="194"/>
      <c r="C425" s="190"/>
      <c r="D425" s="195"/>
      <c r="E425" s="196"/>
      <c r="F425" s="197"/>
      <c r="H425" s="198"/>
      <c r="I425" s="198"/>
    </row>
    <row r="426" ht="19.5" customHeight="1">
      <c r="B426" s="194"/>
      <c r="C426" s="190"/>
      <c r="D426" s="195"/>
      <c r="E426" s="196"/>
      <c r="F426" s="197"/>
      <c r="H426" s="198"/>
      <c r="I426" s="198"/>
    </row>
    <row r="427" ht="19.5" customHeight="1">
      <c r="B427" s="194"/>
      <c r="C427" s="190"/>
      <c r="D427" s="195"/>
      <c r="E427" s="196"/>
      <c r="F427" s="197"/>
      <c r="H427" s="198"/>
      <c r="I427" s="198"/>
    </row>
    <row r="428" ht="19.5" customHeight="1">
      <c r="B428" s="194"/>
      <c r="C428" s="190"/>
      <c r="D428" s="195"/>
      <c r="E428" s="196"/>
      <c r="F428" s="197"/>
      <c r="H428" s="198"/>
      <c r="I428" s="198"/>
    </row>
    <row r="429" ht="19.5" customHeight="1">
      <c r="B429" s="194"/>
      <c r="C429" s="190"/>
      <c r="D429" s="195"/>
      <c r="E429" s="196"/>
      <c r="F429" s="197"/>
      <c r="H429" s="198"/>
      <c r="I429" s="198"/>
    </row>
    <row r="430" ht="19.5" customHeight="1">
      <c r="B430" s="194"/>
      <c r="C430" s="190"/>
      <c r="D430" s="195"/>
      <c r="E430" s="196"/>
      <c r="F430" s="197"/>
      <c r="H430" s="198"/>
      <c r="I430" s="198"/>
    </row>
    <row r="431" ht="19.5" customHeight="1">
      <c r="B431" s="194"/>
      <c r="C431" s="190"/>
      <c r="D431" s="195"/>
      <c r="E431" s="196"/>
      <c r="F431" s="197"/>
      <c r="H431" s="198"/>
      <c r="I431" s="198"/>
    </row>
    <row r="432" ht="19.5" customHeight="1">
      <c r="B432" s="194"/>
      <c r="C432" s="190"/>
      <c r="D432" s="195"/>
      <c r="E432" s="196"/>
      <c r="F432" s="197"/>
      <c r="H432" s="198"/>
      <c r="I432" s="198"/>
    </row>
    <row r="433" ht="19.5" customHeight="1">
      <c r="B433" s="194"/>
      <c r="C433" s="190"/>
      <c r="D433" s="195"/>
      <c r="E433" s="196"/>
      <c r="F433" s="197"/>
      <c r="H433" s="198"/>
      <c r="I433" s="198"/>
    </row>
    <row r="434" ht="19.5" customHeight="1">
      <c r="B434" s="194"/>
      <c r="C434" s="190"/>
      <c r="D434" s="195"/>
      <c r="E434" s="196"/>
      <c r="F434" s="197"/>
      <c r="H434" s="198"/>
      <c r="I434" s="198"/>
    </row>
    <row r="435" ht="19.5" customHeight="1">
      <c r="B435" s="194"/>
      <c r="C435" s="190"/>
      <c r="D435" s="195"/>
      <c r="E435" s="196"/>
      <c r="F435" s="197"/>
      <c r="H435" s="198"/>
      <c r="I435" s="198"/>
    </row>
    <row r="436" ht="19.5" customHeight="1">
      <c r="B436" s="194"/>
      <c r="C436" s="190"/>
      <c r="D436" s="195"/>
      <c r="E436" s="196"/>
      <c r="F436" s="197"/>
      <c r="H436" s="198"/>
      <c r="I436" s="198"/>
    </row>
    <row r="437" ht="19.5" customHeight="1">
      <c r="B437" s="194"/>
      <c r="C437" s="190"/>
      <c r="D437" s="195"/>
      <c r="E437" s="196"/>
      <c r="F437" s="197"/>
      <c r="H437" s="198"/>
      <c r="I437" s="198"/>
    </row>
    <row r="438" ht="19.5" customHeight="1">
      <c r="B438" s="194"/>
      <c r="C438" s="190"/>
      <c r="D438" s="195"/>
      <c r="E438" s="196"/>
      <c r="F438" s="197"/>
      <c r="H438" s="198"/>
      <c r="I438" s="198"/>
    </row>
    <row r="439" ht="19.5" customHeight="1">
      <c r="B439" s="194"/>
      <c r="C439" s="190"/>
      <c r="D439" s="195"/>
      <c r="E439" s="196"/>
      <c r="F439" s="197"/>
      <c r="H439" s="198"/>
      <c r="I439" s="198"/>
    </row>
    <row r="440" ht="19.5" customHeight="1">
      <c r="B440" s="194"/>
      <c r="C440" s="190"/>
      <c r="D440" s="195"/>
      <c r="E440" s="196"/>
      <c r="F440" s="197"/>
      <c r="H440" s="198"/>
      <c r="I440" s="198"/>
    </row>
    <row r="441" ht="19.5" customHeight="1">
      <c r="B441" s="194"/>
      <c r="C441" s="190"/>
      <c r="D441" s="195"/>
      <c r="E441" s="196"/>
      <c r="F441" s="197"/>
      <c r="H441" s="198"/>
      <c r="I441" s="198"/>
    </row>
    <row r="442" ht="19.5" customHeight="1">
      <c r="B442" s="194"/>
      <c r="C442" s="190"/>
      <c r="D442" s="195"/>
      <c r="E442" s="196"/>
      <c r="F442" s="197"/>
      <c r="H442" s="198"/>
      <c r="I442" s="198"/>
    </row>
    <row r="443" ht="19.5" customHeight="1">
      <c r="B443" s="194"/>
      <c r="C443" s="190"/>
      <c r="D443" s="195"/>
      <c r="E443" s="196"/>
      <c r="F443" s="197"/>
      <c r="H443" s="198"/>
      <c r="I443" s="198"/>
    </row>
    <row r="444" ht="19.5" customHeight="1">
      <c r="B444" s="194"/>
      <c r="C444" s="190"/>
      <c r="D444" s="195"/>
      <c r="E444" s="196"/>
      <c r="F444" s="197"/>
      <c r="H444" s="198"/>
      <c r="I444" s="198"/>
    </row>
    <row r="445" ht="19.5" customHeight="1">
      <c r="B445" s="194"/>
      <c r="C445" s="190"/>
      <c r="D445" s="195"/>
      <c r="E445" s="196"/>
      <c r="F445" s="197"/>
      <c r="H445" s="198"/>
      <c r="I445" s="198"/>
    </row>
    <row r="446" ht="19.5" customHeight="1">
      <c r="B446" s="194"/>
      <c r="C446" s="190"/>
      <c r="D446" s="195"/>
      <c r="E446" s="196"/>
      <c r="F446" s="197"/>
      <c r="H446" s="198"/>
      <c r="I446" s="198"/>
    </row>
    <row r="447" ht="19.5" customHeight="1">
      <c r="B447" s="194"/>
      <c r="C447" s="190"/>
      <c r="D447" s="195"/>
      <c r="E447" s="196"/>
      <c r="F447" s="197"/>
      <c r="H447" s="198"/>
      <c r="I447" s="198"/>
    </row>
    <row r="448" ht="19.5" customHeight="1">
      <c r="B448" s="194"/>
      <c r="C448" s="190"/>
      <c r="D448" s="195"/>
      <c r="E448" s="196"/>
      <c r="F448" s="197"/>
      <c r="H448" s="198"/>
      <c r="I448" s="198"/>
    </row>
    <row r="449" ht="19.5" customHeight="1">
      <c r="B449" s="194"/>
      <c r="C449" s="190"/>
      <c r="D449" s="195"/>
      <c r="E449" s="196"/>
      <c r="F449" s="197"/>
      <c r="H449" s="198"/>
      <c r="I449" s="198"/>
    </row>
    <row r="450" ht="19.5" customHeight="1">
      <c r="B450" s="194"/>
      <c r="C450" s="190"/>
      <c r="D450" s="195"/>
      <c r="E450" s="196"/>
      <c r="F450" s="197"/>
      <c r="H450" s="198"/>
      <c r="I450" s="198"/>
    </row>
    <row r="451" ht="19.5" customHeight="1">
      <c r="B451" s="194"/>
      <c r="C451" s="190"/>
      <c r="D451" s="195"/>
      <c r="E451" s="196"/>
      <c r="F451" s="197"/>
      <c r="H451" s="198"/>
      <c r="I451" s="198"/>
    </row>
    <row r="452" ht="19.5" customHeight="1">
      <c r="B452" s="194"/>
      <c r="C452" s="190"/>
      <c r="D452" s="195"/>
      <c r="E452" s="196"/>
      <c r="F452" s="197"/>
      <c r="H452" s="198"/>
      <c r="I452" s="198"/>
    </row>
    <row r="453" ht="19.5" customHeight="1">
      <c r="B453" s="194"/>
      <c r="C453" s="190"/>
      <c r="D453" s="195"/>
      <c r="E453" s="196"/>
      <c r="F453" s="197"/>
      <c r="H453" s="198"/>
      <c r="I453" s="198"/>
    </row>
    <row r="454" ht="19.5" customHeight="1">
      <c r="B454" s="194"/>
      <c r="C454" s="190"/>
      <c r="D454" s="195"/>
      <c r="E454" s="196"/>
      <c r="F454" s="197"/>
      <c r="H454" s="198"/>
      <c r="I454" s="198"/>
    </row>
    <row r="455" ht="19.5" customHeight="1">
      <c r="B455" s="194"/>
      <c r="C455" s="190"/>
      <c r="D455" s="195"/>
      <c r="E455" s="196"/>
      <c r="F455" s="197"/>
      <c r="H455" s="198"/>
      <c r="I455" s="198"/>
    </row>
    <row r="456" ht="19.5" customHeight="1">
      <c r="B456" s="194"/>
      <c r="C456" s="190"/>
      <c r="D456" s="195"/>
      <c r="E456" s="196"/>
      <c r="F456" s="197"/>
      <c r="H456" s="198"/>
      <c r="I456" s="198"/>
    </row>
    <row r="457" ht="19.5" customHeight="1">
      <c r="B457" s="194"/>
      <c r="C457" s="190"/>
      <c r="D457" s="195"/>
      <c r="E457" s="196"/>
      <c r="F457" s="197"/>
      <c r="H457" s="198"/>
      <c r="I457" s="198"/>
    </row>
    <row r="458" ht="19.5" customHeight="1">
      <c r="B458" s="194"/>
      <c r="C458" s="190"/>
      <c r="D458" s="195"/>
      <c r="E458" s="196"/>
      <c r="F458" s="197"/>
      <c r="H458" s="198"/>
      <c r="I458" s="198"/>
    </row>
    <row r="459" ht="19.5" customHeight="1">
      <c r="B459" s="194"/>
      <c r="C459" s="190"/>
      <c r="D459" s="195"/>
      <c r="E459" s="196"/>
      <c r="F459" s="197"/>
      <c r="H459" s="198"/>
      <c r="I459" s="198"/>
    </row>
    <row r="460" ht="19.5" customHeight="1">
      <c r="B460" s="194"/>
      <c r="C460" s="190"/>
      <c r="D460" s="195"/>
      <c r="E460" s="196"/>
      <c r="F460" s="197"/>
      <c r="H460" s="198"/>
      <c r="I460" s="198"/>
    </row>
    <row r="461" ht="19.5" customHeight="1">
      <c r="B461" s="194"/>
      <c r="C461" s="190"/>
      <c r="D461" s="195"/>
      <c r="E461" s="196"/>
      <c r="F461" s="197"/>
      <c r="H461" s="198"/>
      <c r="I461" s="198"/>
    </row>
    <row r="462" ht="19.5" customHeight="1">
      <c r="B462" s="194"/>
      <c r="C462" s="190"/>
      <c r="D462" s="195"/>
      <c r="E462" s="196"/>
      <c r="F462" s="197"/>
      <c r="H462" s="198"/>
      <c r="I462" s="198"/>
    </row>
    <row r="463" ht="19.5" customHeight="1">
      <c r="B463" s="194"/>
      <c r="C463" s="190"/>
      <c r="D463" s="195"/>
      <c r="E463" s="196"/>
      <c r="F463" s="197"/>
      <c r="H463" s="198"/>
      <c r="I463" s="198"/>
    </row>
    <row r="464" ht="19.5" customHeight="1">
      <c r="B464" s="194"/>
      <c r="C464" s="190"/>
      <c r="D464" s="195"/>
      <c r="E464" s="196"/>
      <c r="F464" s="197"/>
      <c r="H464" s="198"/>
      <c r="I464" s="198"/>
    </row>
    <row r="465" ht="19.5" customHeight="1">
      <c r="B465" s="194"/>
      <c r="C465" s="190"/>
      <c r="D465" s="195"/>
      <c r="E465" s="196"/>
      <c r="F465" s="197"/>
      <c r="H465" s="198"/>
      <c r="I465" s="198"/>
    </row>
    <row r="466" ht="19.5" customHeight="1">
      <c r="B466" s="194"/>
      <c r="C466" s="190"/>
      <c r="D466" s="195"/>
      <c r="E466" s="196"/>
      <c r="F466" s="197"/>
      <c r="H466" s="198"/>
      <c r="I466" s="198"/>
    </row>
    <row r="467" ht="19.5" customHeight="1">
      <c r="B467" s="194"/>
      <c r="C467" s="190"/>
      <c r="D467" s="195"/>
      <c r="E467" s="196"/>
      <c r="F467" s="197"/>
      <c r="H467" s="198"/>
      <c r="I467" s="198"/>
    </row>
    <row r="468" ht="19.5" customHeight="1">
      <c r="B468" s="194"/>
      <c r="C468" s="190"/>
      <c r="D468" s="195"/>
      <c r="E468" s="196"/>
      <c r="F468" s="197"/>
      <c r="H468" s="198"/>
      <c r="I468" s="198"/>
    </row>
    <row r="469" ht="19.5" customHeight="1">
      <c r="B469" s="194"/>
      <c r="C469" s="190"/>
      <c r="D469" s="195"/>
      <c r="E469" s="196"/>
      <c r="F469" s="197"/>
      <c r="H469" s="198"/>
      <c r="I469" s="198"/>
    </row>
    <row r="470" ht="19.5" customHeight="1">
      <c r="B470" s="194"/>
      <c r="C470" s="190"/>
      <c r="D470" s="195"/>
      <c r="E470" s="196"/>
      <c r="F470" s="197"/>
      <c r="H470" s="198"/>
      <c r="I470" s="198"/>
    </row>
    <row r="471" ht="19.5" customHeight="1">
      <c r="B471" s="194"/>
      <c r="C471" s="190"/>
      <c r="D471" s="195"/>
      <c r="E471" s="196"/>
      <c r="F471" s="197"/>
      <c r="H471" s="198"/>
      <c r="I471" s="198"/>
    </row>
    <row r="472" ht="19.5" customHeight="1">
      <c r="B472" s="194"/>
      <c r="C472" s="190"/>
      <c r="D472" s="195"/>
      <c r="E472" s="196"/>
      <c r="F472" s="197"/>
      <c r="H472" s="198"/>
      <c r="I472" s="198"/>
    </row>
    <row r="473" ht="19.5" customHeight="1">
      <c r="B473" s="194"/>
      <c r="C473" s="190"/>
      <c r="D473" s="195"/>
      <c r="E473" s="196"/>
      <c r="F473" s="197"/>
      <c r="H473" s="198"/>
      <c r="I473" s="198"/>
    </row>
    <row r="474" ht="19.5" customHeight="1">
      <c r="B474" s="194"/>
      <c r="C474" s="190"/>
      <c r="D474" s="195"/>
      <c r="E474" s="196"/>
      <c r="F474" s="197"/>
      <c r="H474" s="198"/>
      <c r="I474" s="198"/>
    </row>
    <row r="475" ht="19.5" customHeight="1">
      <c r="B475" s="194"/>
      <c r="C475" s="190"/>
      <c r="D475" s="195"/>
      <c r="E475" s="196"/>
      <c r="F475" s="197"/>
      <c r="H475" s="198"/>
      <c r="I475" s="198"/>
    </row>
    <row r="476" ht="19.5" customHeight="1">
      <c r="B476" s="194"/>
      <c r="C476" s="190"/>
      <c r="D476" s="195"/>
      <c r="E476" s="196"/>
      <c r="F476" s="197"/>
      <c r="H476" s="198"/>
      <c r="I476" s="198"/>
    </row>
    <row r="477" ht="19.5" customHeight="1">
      <c r="B477" s="194"/>
      <c r="C477" s="190"/>
      <c r="D477" s="195"/>
      <c r="E477" s="196"/>
      <c r="F477" s="197"/>
      <c r="H477" s="198"/>
      <c r="I477" s="198"/>
    </row>
    <row r="478" ht="19.5" customHeight="1">
      <c r="B478" s="194"/>
      <c r="C478" s="190"/>
      <c r="D478" s="195"/>
      <c r="E478" s="196"/>
      <c r="F478" s="197"/>
      <c r="H478" s="198"/>
      <c r="I478" s="198"/>
    </row>
    <row r="479" ht="19.5" customHeight="1">
      <c r="B479" s="194"/>
      <c r="C479" s="190"/>
      <c r="D479" s="195"/>
      <c r="E479" s="196"/>
      <c r="F479" s="197"/>
      <c r="H479" s="198"/>
      <c r="I479" s="198"/>
    </row>
    <row r="480" ht="19.5" customHeight="1">
      <c r="B480" s="194"/>
      <c r="C480" s="190"/>
      <c r="D480" s="195"/>
      <c r="E480" s="196"/>
      <c r="F480" s="197"/>
      <c r="H480" s="198"/>
      <c r="I480" s="198"/>
    </row>
    <row r="481" ht="19.5" customHeight="1">
      <c r="B481" s="194"/>
      <c r="C481" s="190"/>
      <c r="D481" s="195"/>
      <c r="E481" s="196"/>
      <c r="F481" s="197"/>
      <c r="H481" s="198"/>
      <c r="I481" s="198"/>
    </row>
    <row r="482" ht="19.5" customHeight="1">
      <c r="B482" s="194"/>
      <c r="C482" s="190"/>
      <c r="D482" s="195"/>
      <c r="E482" s="196"/>
      <c r="F482" s="197"/>
      <c r="H482" s="198"/>
      <c r="I482" s="198"/>
    </row>
    <row r="483" ht="19.5" customHeight="1">
      <c r="B483" s="194"/>
      <c r="C483" s="190"/>
      <c r="D483" s="195"/>
      <c r="E483" s="196"/>
      <c r="F483" s="197"/>
      <c r="H483" s="198"/>
      <c r="I483" s="198"/>
    </row>
    <row r="484" ht="19.5" customHeight="1">
      <c r="B484" s="194"/>
      <c r="C484" s="190"/>
      <c r="D484" s="195"/>
      <c r="E484" s="196"/>
      <c r="F484" s="197"/>
      <c r="H484" s="198"/>
      <c r="I484" s="198"/>
    </row>
    <row r="485" ht="19.5" customHeight="1">
      <c r="B485" s="194"/>
      <c r="C485" s="190"/>
      <c r="D485" s="195"/>
      <c r="E485" s="196"/>
      <c r="F485" s="197"/>
      <c r="H485" s="198"/>
      <c r="I485" s="198"/>
    </row>
    <row r="486" ht="19.5" customHeight="1">
      <c r="B486" s="194"/>
      <c r="C486" s="190"/>
      <c r="D486" s="195"/>
      <c r="E486" s="196"/>
      <c r="F486" s="197"/>
      <c r="H486" s="198"/>
      <c r="I486" s="198"/>
    </row>
    <row r="487" ht="19.5" customHeight="1">
      <c r="B487" s="194"/>
      <c r="C487" s="190"/>
      <c r="D487" s="195"/>
      <c r="E487" s="196"/>
      <c r="F487" s="197"/>
      <c r="H487" s="198"/>
      <c r="I487" s="198"/>
    </row>
    <row r="488" ht="19.5" customHeight="1">
      <c r="B488" s="194"/>
      <c r="C488" s="190"/>
      <c r="D488" s="195"/>
      <c r="E488" s="196"/>
      <c r="F488" s="197"/>
      <c r="H488" s="198"/>
      <c r="I488" s="198"/>
    </row>
    <row r="489" ht="19.5" customHeight="1">
      <c r="B489" s="194"/>
      <c r="C489" s="190"/>
      <c r="D489" s="195"/>
      <c r="E489" s="196"/>
      <c r="F489" s="197"/>
      <c r="H489" s="198"/>
      <c r="I489" s="198"/>
    </row>
    <row r="490" ht="19.5" customHeight="1">
      <c r="B490" s="194"/>
      <c r="C490" s="190"/>
      <c r="D490" s="195"/>
      <c r="E490" s="196"/>
      <c r="F490" s="197"/>
      <c r="H490" s="198"/>
      <c r="I490" s="198"/>
    </row>
    <row r="491" ht="19.5" customHeight="1">
      <c r="B491" s="194"/>
      <c r="C491" s="190"/>
      <c r="D491" s="195"/>
      <c r="E491" s="196"/>
      <c r="F491" s="197"/>
      <c r="H491" s="198"/>
      <c r="I491" s="198"/>
    </row>
    <row r="492" ht="19.5" customHeight="1">
      <c r="B492" s="194"/>
      <c r="C492" s="190"/>
      <c r="D492" s="195"/>
      <c r="E492" s="196"/>
      <c r="F492" s="197"/>
      <c r="H492" s="198"/>
      <c r="I492" s="198"/>
    </row>
    <row r="493" ht="19.5" customHeight="1">
      <c r="B493" s="194"/>
      <c r="C493" s="190"/>
      <c r="D493" s="195"/>
      <c r="E493" s="196"/>
      <c r="F493" s="197"/>
      <c r="H493" s="198"/>
      <c r="I493" s="198"/>
    </row>
    <row r="494" ht="19.5" customHeight="1">
      <c r="B494" s="194"/>
      <c r="C494" s="190"/>
      <c r="D494" s="195"/>
      <c r="E494" s="196"/>
      <c r="F494" s="197"/>
      <c r="H494" s="198"/>
      <c r="I494" s="198"/>
    </row>
    <row r="495" ht="19.5" customHeight="1">
      <c r="B495" s="194"/>
      <c r="C495" s="190"/>
      <c r="D495" s="195"/>
      <c r="E495" s="196"/>
      <c r="F495" s="197"/>
      <c r="H495" s="198"/>
      <c r="I495" s="198"/>
    </row>
    <row r="496" ht="19.5" customHeight="1">
      <c r="B496" s="194"/>
      <c r="C496" s="190"/>
      <c r="D496" s="195"/>
      <c r="E496" s="196"/>
      <c r="F496" s="197"/>
      <c r="H496" s="198"/>
      <c r="I496" s="198"/>
    </row>
    <row r="497" ht="19.5" customHeight="1">
      <c r="B497" s="194"/>
      <c r="C497" s="190"/>
      <c r="D497" s="195"/>
      <c r="E497" s="196"/>
      <c r="F497" s="197"/>
      <c r="H497" s="198"/>
      <c r="I497" s="198"/>
    </row>
    <row r="498" ht="19.5" customHeight="1">
      <c r="B498" s="194"/>
      <c r="C498" s="190"/>
      <c r="D498" s="195"/>
      <c r="E498" s="196"/>
      <c r="F498" s="197"/>
      <c r="H498" s="198"/>
      <c r="I498" s="198"/>
    </row>
    <row r="499" ht="19.5" customHeight="1">
      <c r="B499" s="194"/>
      <c r="C499" s="190"/>
      <c r="D499" s="195"/>
      <c r="E499" s="196"/>
      <c r="F499" s="197"/>
      <c r="H499" s="198"/>
      <c r="I499" s="198"/>
    </row>
    <row r="500" ht="19.5" customHeight="1">
      <c r="B500" s="194"/>
      <c r="C500" s="190"/>
      <c r="D500" s="195"/>
      <c r="E500" s="196"/>
      <c r="F500" s="197"/>
      <c r="H500" s="198"/>
      <c r="I500" s="198"/>
    </row>
    <row r="501" ht="19.5" customHeight="1">
      <c r="B501" s="194"/>
      <c r="C501" s="190"/>
      <c r="D501" s="195"/>
      <c r="E501" s="196"/>
      <c r="F501" s="197"/>
      <c r="H501" s="198"/>
      <c r="I501" s="198"/>
    </row>
    <row r="502" ht="19.5" customHeight="1">
      <c r="B502" s="194"/>
      <c r="C502" s="190"/>
      <c r="D502" s="195"/>
      <c r="E502" s="196"/>
      <c r="F502" s="197"/>
      <c r="H502" s="198"/>
      <c r="I502" s="198"/>
    </row>
    <row r="503" ht="19.5" customHeight="1">
      <c r="B503" s="194"/>
      <c r="C503" s="190"/>
      <c r="D503" s="195"/>
      <c r="E503" s="196"/>
      <c r="F503" s="197"/>
      <c r="H503" s="198"/>
      <c r="I503" s="198"/>
    </row>
    <row r="504" ht="19.5" customHeight="1">
      <c r="B504" s="194"/>
      <c r="C504" s="190"/>
      <c r="D504" s="195"/>
      <c r="E504" s="196"/>
      <c r="F504" s="197"/>
      <c r="H504" s="198"/>
      <c r="I504" s="198"/>
    </row>
    <row r="505" ht="19.5" customHeight="1">
      <c r="B505" s="194"/>
      <c r="C505" s="190"/>
      <c r="D505" s="195"/>
      <c r="E505" s="196"/>
      <c r="F505" s="197"/>
      <c r="H505" s="198"/>
      <c r="I505" s="198"/>
    </row>
    <row r="506" ht="19.5" customHeight="1">
      <c r="B506" s="194"/>
      <c r="C506" s="190"/>
      <c r="D506" s="195"/>
      <c r="E506" s="196"/>
      <c r="F506" s="197"/>
      <c r="H506" s="198"/>
      <c r="I506" s="198"/>
    </row>
    <row r="507" ht="19.5" customHeight="1">
      <c r="B507" s="194"/>
      <c r="C507" s="190"/>
      <c r="D507" s="195"/>
      <c r="E507" s="196"/>
      <c r="F507" s="197"/>
      <c r="H507" s="198"/>
      <c r="I507" s="198"/>
    </row>
    <row r="508" ht="19.5" customHeight="1">
      <c r="B508" s="194"/>
      <c r="C508" s="190"/>
      <c r="D508" s="195"/>
      <c r="E508" s="196"/>
      <c r="F508" s="197"/>
      <c r="H508" s="198"/>
      <c r="I508" s="198"/>
    </row>
    <row r="509" ht="19.5" customHeight="1">
      <c r="B509" s="194"/>
      <c r="C509" s="190"/>
      <c r="D509" s="195"/>
      <c r="E509" s="196"/>
      <c r="F509" s="197"/>
      <c r="H509" s="198"/>
      <c r="I509" s="198"/>
    </row>
    <row r="510" ht="19.5" customHeight="1">
      <c r="B510" s="194"/>
      <c r="C510" s="190"/>
      <c r="D510" s="195"/>
      <c r="E510" s="196"/>
      <c r="F510" s="197"/>
      <c r="H510" s="198"/>
      <c r="I510" s="198"/>
    </row>
    <row r="511" ht="19.5" customHeight="1">
      <c r="B511" s="194"/>
      <c r="C511" s="190"/>
      <c r="D511" s="195"/>
      <c r="E511" s="196"/>
      <c r="F511" s="197"/>
      <c r="H511" s="198"/>
      <c r="I511" s="198"/>
    </row>
    <row r="512" ht="19.5" customHeight="1">
      <c r="B512" s="194"/>
      <c r="C512" s="190"/>
      <c r="D512" s="195"/>
      <c r="E512" s="196"/>
      <c r="F512" s="197"/>
      <c r="H512" s="198"/>
      <c r="I512" s="198"/>
    </row>
    <row r="513" ht="19.5" customHeight="1">
      <c r="B513" s="194"/>
      <c r="C513" s="190"/>
      <c r="D513" s="195"/>
      <c r="E513" s="196"/>
      <c r="F513" s="197"/>
      <c r="H513" s="198"/>
      <c r="I513" s="198"/>
    </row>
    <row r="514" ht="19.5" customHeight="1">
      <c r="B514" s="194"/>
      <c r="C514" s="190"/>
      <c r="D514" s="195"/>
      <c r="E514" s="196"/>
      <c r="F514" s="197"/>
      <c r="H514" s="198"/>
      <c r="I514" s="198"/>
    </row>
    <row r="515" ht="19.5" customHeight="1">
      <c r="B515" s="194"/>
      <c r="C515" s="190"/>
      <c r="D515" s="195"/>
      <c r="E515" s="196"/>
      <c r="F515" s="197"/>
      <c r="H515" s="198"/>
      <c r="I515" s="198"/>
    </row>
    <row r="516" ht="19.5" customHeight="1">
      <c r="B516" s="194"/>
      <c r="C516" s="190"/>
      <c r="D516" s="195"/>
      <c r="E516" s="196"/>
      <c r="F516" s="197"/>
      <c r="H516" s="198"/>
      <c r="I516" s="198"/>
    </row>
    <row r="517" ht="19.5" customHeight="1">
      <c r="B517" s="194"/>
      <c r="C517" s="190"/>
      <c r="D517" s="195"/>
      <c r="E517" s="196"/>
      <c r="F517" s="197"/>
      <c r="H517" s="198"/>
      <c r="I517" s="198"/>
    </row>
    <row r="518" ht="19.5" customHeight="1">
      <c r="B518" s="194"/>
      <c r="C518" s="190"/>
      <c r="D518" s="195"/>
      <c r="E518" s="196"/>
      <c r="F518" s="197"/>
      <c r="H518" s="198"/>
      <c r="I518" s="198"/>
    </row>
    <row r="519" ht="19.5" customHeight="1">
      <c r="B519" s="194"/>
      <c r="C519" s="190"/>
      <c r="D519" s="195"/>
      <c r="E519" s="196"/>
      <c r="F519" s="197"/>
      <c r="H519" s="198"/>
      <c r="I519" s="198"/>
    </row>
    <row r="520" ht="19.5" customHeight="1">
      <c r="B520" s="194"/>
      <c r="C520" s="190"/>
      <c r="D520" s="195"/>
      <c r="E520" s="196"/>
      <c r="F520" s="197"/>
      <c r="H520" s="198"/>
      <c r="I520" s="198"/>
    </row>
    <row r="521" ht="19.5" customHeight="1">
      <c r="B521" s="194"/>
      <c r="C521" s="190"/>
      <c r="D521" s="195"/>
      <c r="E521" s="196"/>
      <c r="F521" s="197"/>
      <c r="H521" s="198"/>
      <c r="I521" s="198"/>
    </row>
    <row r="522" ht="19.5" customHeight="1">
      <c r="B522" s="194"/>
      <c r="C522" s="190"/>
      <c r="D522" s="195"/>
      <c r="E522" s="196"/>
      <c r="F522" s="197"/>
      <c r="H522" s="198"/>
      <c r="I522" s="198"/>
    </row>
    <row r="523" ht="19.5" customHeight="1">
      <c r="B523" s="194"/>
      <c r="C523" s="190"/>
      <c r="D523" s="195"/>
      <c r="E523" s="196"/>
      <c r="F523" s="197"/>
      <c r="H523" s="198"/>
      <c r="I523" s="198"/>
    </row>
    <row r="524" ht="19.5" customHeight="1">
      <c r="B524" s="194"/>
      <c r="C524" s="190"/>
      <c r="D524" s="195"/>
      <c r="E524" s="196"/>
      <c r="F524" s="197"/>
      <c r="H524" s="198"/>
      <c r="I524" s="198"/>
    </row>
    <row r="525" ht="19.5" customHeight="1">
      <c r="B525" s="194"/>
      <c r="C525" s="190"/>
      <c r="D525" s="195"/>
      <c r="E525" s="196"/>
      <c r="F525" s="197"/>
      <c r="H525" s="198"/>
      <c r="I525" s="198"/>
    </row>
    <row r="526" ht="19.5" customHeight="1">
      <c r="B526" s="194"/>
      <c r="C526" s="190"/>
      <c r="D526" s="195"/>
      <c r="E526" s="196"/>
      <c r="F526" s="197"/>
      <c r="H526" s="198"/>
      <c r="I526" s="198"/>
    </row>
    <row r="527" ht="19.5" customHeight="1">
      <c r="B527" s="194"/>
      <c r="C527" s="190"/>
      <c r="D527" s="195"/>
      <c r="E527" s="196"/>
      <c r="F527" s="197"/>
      <c r="H527" s="198"/>
      <c r="I527" s="198"/>
    </row>
    <row r="528" ht="19.5" customHeight="1">
      <c r="B528" s="194"/>
      <c r="C528" s="190"/>
      <c r="D528" s="195"/>
      <c r="E528" s="196"/>
      <c r="F528" s="197"/>
      <c r="H528" s="198"/>
      <c r="I528" s="198"/>
    </row>
    <row r="529" ht="19.5" customHeight="1">
      <c r="B529" s="194"/>
      <c r="C529" s="190"/>
      <c r="D529" s="195"/>
      <c r="E529" s="196"/>
      <c r="F529" s="197"/>
      <c r="H529" s="198"/>
      <c r="I529" s="198"/>
    </row>
    <row r="530" ht="19.5" customHeight="1">
      <c r="B530" s="194"/>
      <c r="C530" s="190"/>
      <c r="D530" s="195"/>
      <c r="E530" s="196"/>
      <c r="F530" s="197"/>
      <c r="H530" s="198"/>
      <c r="I530" s="198"/>
    </row>
    <row r="531" ht="19.5" customHeight="1">
      <c r="B531" s="194"/>
      <c r="C531" s="190"/>
      <c r="D531" s="195"/>
      <c r="E531" s="196"/>
      <c r="F531" s="197"/>
      <c r="H531" s="198"/>
      <c r="I531" s="198"/>
    </row>
    <row r="532" ht="19.5" customHeight="1">
      <c r="B532" s="194"/>
      <c r="C532" s="190"/>
      <c r="D532" s="195"/>
      <c r="E532" s="196"/>
      <c r="F532" s="197"/>
      <c r="H532" s="198"/>
      <c r="I532" s="198"/>
    </row>
    <row r="533" ht="19.5" customHeight="1">
      <c r="B533" s="194"/>
      <c r="C533" s="190"/>
      <c r="D533" s="195"/>
      <c r="E533" s="196"/>
      <c r="F533" s="197"/>
      <c r="H533" s="198"/>
      <c r="I533" s="198"/>
    </row>
    <row r="534" ht="19.5" customHeight="1">
      <c r="B534" s="194"/>
      <c r="C534" s="190"/>
      <c r="D534" s="195"/>
      <c r="E534" s="196"/>
      <c r="F534" s="197"/>
      <c r="H534" s="198"/>
      <c r="I534" s="198"/>
    </row>
    <row r="535" ht="19.5" customHeight="1">
      <c r="B535" s="194"/>
      <c r="C535" s="190"/>
      <c r="D535" s="195"/>
      <c r="E535" s="196"/>
      <c r="F535" s="197"/>
      <c r="H535" s="198"/>
      <c r="I535" s="198"/>
    </row>
    <row r="536" ht="19.5" customHeight="1">
      <c r="B536" s="194"/>
      <c r="C536" s="190"/>
      <c r="D536" s="195"/>
      <c r="E536" s="196"/>
      <c r="F536" s="197"/>
      <c r="H536" s="198"/>
      <c r="I536" s="198"/>
    </row>
    <row r="537" ht="19.5" customHeight="1">
      <c r="B537" s="194"/>
      <c r="C537" s="190"/>
      <c r="D537" s="195"/>
      <c r="E537" s="196"/>
      <c r="F537" s="197"/>
      <c r="H537" s="198"/>
      <c r="I537" s="198"/>
    </row>
    <row r="538" ht="19.5" customHeight="1">
      <c r="B538" s="194"/>
      <c r="C538" s="190"/>
      <c r="D538" s="195"/>
      <c r="E538" s="196"/>
      <c r="F538" s="197"/>
      <c r="H538" s="198"/>
      <c r="I538" s="198"/>
    </row>
    <row r="539" ht="19.5" customHeight="1">
      <c r="B539" s="194"/>
      <c r="C539" s="190"/>
      <c r="D539" s="195"/>
      <c r="E539" s="196"/>
      <c r="F539" s="197"/>
      <c r="H539" s="198"/>
      <c r="I539" s="198"/>
    </row>
    <row r="540" ht="19.5" customHeight="1">
      <c r="B540" s="194"/>
      <c r="C540" s="190"/>
      <c r="D540" s="195"/>
      <c r="E540" s="196"/>
      <c r="F540" s="197"/>
      <c r="H540" s="198"/>
      <c r="I540" s="198"/>
    </row>
    <row r="541" ht="19.5" customHeight="1">
      <c r="B541" s="194"/>
      <c r="C541" s="190"/>
      <c r="D541" s="195"/>
      <c r="E541" s="196"/>
      <c r="F541" s="197"/>
      <c r="H541" s="198"/>
      <c r="I541" s="198"/>
    </row>
    <row r="542" ht="19.5" customHeight="1">
      <c r="B542" s="194"/>
      <c r="C542" s="190"/>
      <c r="D542" s="195"/>
      <c r="E542" s="196"/>
      <c r="F542" s="197"/>
      <c r="H542" s="198"/>
      <c r="I542" s="198"/>
    </row>
    <row r="543" ht="19.5" customHeight="1">
      <c r="B543" s="194"/>
      <c r="C543" s="190"/>
      <c r="D543" s="195"/>
      <c r="E543" s="196"/>
      <c r="F543" s="197"/>
      <c r="H543" s="198"/>
      <c r="I543" s="198"/>
    </row>
    <row r="544" ht="19.5" customHeight="1">
      <c r="B544" s="194"/>
      <c r="C544" s="190"/>
      <c r="D544" s="195"/>
      <c r="E544" s="196"/>
      <c r="F544" s="197"/>
      <c r="H544" s="198"/>
      <c r="I544" s="198"/>
    </row>
    <row r="545" ht="19.5" customHeight="1">
      <c r="B545" s="194"/>
      <c r="C545" s="190"/>
      <c r="D545" s="195"/>
      <c r="E545" s="196"/>
      <c r="F545" s="197"/>
      <c r="H545" s="198"/>
      <c r="I545" s="198"/>
    </row>
    <row r="546" ht="19.5" customHeight="1">
      <c r="B546" s="194"/>
      <c r="C546" s="190"/>
      <c r="D546" s="195"/>
      <c r="E546" s="196"/>
      <c r="F546" s="197"/>
      <c r="H546" s="198"/>
      <c r="I546" s="198"/>
    </row>
    <row r="547" ht="19.5" customHeight="1">
      <c r="B547" s="194"/>
      <c r="C547" s="190"/>
      <c r="D547" s="195"/>
      <c r="E547" s="196"/>
      <c r="F547" s="197"/>
      <c r="H547" s="198"/>
      <c r="I547" s="198"/>
    </row>
    <row r="548" ht="19.5" customHeight="1">
      <c r="B548" s="194"/>
      <c r="C548" s="190"/>
      <c r="D548" s="195"/>
      <c r="E548" s="196"/>
      <c r="F548" s="197"/>
      <c r="H548" s="198"/>
      <c r="I548" s="198"/>
    </row>
    <row r="549" ht="19.5" customHeight="1">
      <c r="B549" s="194"/>
      <c r="C549" s="190"/>
      <c r="D549" s="195"/>
      <c r="E549" s="196"/>
      <c r="F549" s="197"/>
      <c r="H549" s="198"/>
      <c r="I549" s="198"/>
    </row>
    <row r="550" ht="19.5" customHeight="1">
      <c r="B550" s="194"/>
      <c r="C550" s="190"/>
      <c r="D550" s="195"/>
      <c r="E550" s="196"/>
      <c r="F550" s="197"/>
      <c r="H550" s="198"/>
      <c r="I550" s="198"/>
    </row>
    <row r="551" ht="19.5" customHeight="1">
      <c r="B551" s="194"/>
      <c r="C551" s="190"/>
      <c r="D551" s="195"/>
      <c r="E551" s="196"/>
      <c r="F551" s="197"/>
      <c r="H551" s="198"/>
      <c r="I551" s="198"/>
    </row>
    <row r="552" ht="19.5" customHeight="1">
      <c r="B552" s="194"/>
      <c r="C552" s="190"/>
      <c r="D552" s="195"/>
      <c r="E552" s="196"/>
      <c r="F552" s="197"/>
      <c r="H552" s="198"/>
      <c r="I552" s="198"/>
    </row>
    <row r="553" ht="19.5" customHeight="1">
      <c r="B553" s="194"/>
      <c r="C553" s="190"/>
      <c r="D553" s="195"/>
      <c r="E553" s="196"/>
      <c r="F553" s="197"/>
      <c r="H553" s="198"/>
      <c r="I553" s="198"/>
    </row>
    <row r="554" ht="19.5" customHeight="1">
      <c r="B554" s="194"/>
      <c r="C554" s="190"/>
      <c r="D554" s="195"/>
      <c r="E554" s="196"/>
      <c r="F554" s="197"/>
      <c r="H554" s="198"/>
      <c r="I554" s="198"/>
    </row>
    <row r="555" ht="19.5" customHeight="1">
      <c r="B555" s="194"/>
      <c r="C555" s="190"/>
      <c r="D555" s="195"/>
      <c r="E555" s="196"/>
      <c r="F555" s="197"/>
      <c r="H555" s="198"/>
      <c r="I555" s="198"/>
    </row>
    <row r="556" ht="19.5" customHeight="1">
      <c r="B556" s="194"/>
      <c r="C556" s="190"/>
      <c r="D556" s="195"/>
      <c r="E556" s="196"/>
      <c r="F556" s="197"/>
      <c r="H556" s="198"/>
      <c r="I556" s="198"/>
    </row>
    <row r="557" ht="19.5" customHeight="1">
      <c r="B557" s="194"/>
      <c r="C557" s="190"/>
      <c r="D557" s="195"/>
      <c r="E557" s="196"/>
      <c r="F557" s="197"/>
      <c r="H557" s="198"/>
      <c r="I557" s="198"/>
    </row>
    <row r="558" ht="19.5" customHeight="1">
      <c r="B558" s="194"/>
      <c r="C558" s="190"/>
      <c r="D558" s="195"/>
      <c r="E558" s="196"/>
      <c r="F558" s="197"/>
      <c r="H558" s="198"/>
      <c r="I558" s="198"/>
    </row>
    <row r="559" ht="19.5" customHeight="1">
      <c r="B559" s="194"/>
      <c r="C559" s="190"/>
      <c r="D559" s="195"/>
      <c r="E559" s="196"/>
      <c r="F559" s="197"/>
      <c r="H559" s="198"/>
      <c r="I559" s="198"/>
    </row>
    <row r="560" ht="19.5" customHeight="1">
      <c r="B560" s="194"/>
      <c r="C560" s="190"/>
      <c r="D560" s="195"/>
      <c r="E560" s="196"/>
      <c r="F560" s="197"/>
      <c r="H560" s="198"/>
      <c r="I560" s="198"/>
    </row>
    <row r="561" ht="19.5" customHeight="1">
      <c r="B561" s="194"/>
      <c r="C561" s="190"/>
      <c r="D561" s="195"/>
      <c r="E561" s="196"/>
      <c r="F561" s="197"/>
      <c r="H561" s="198"/>
      <c r="I561" s="198"/>
    </row>
    <row r="562" ht="19.5" customHeight="1">
      <c r="B562" s="194"/>
      <c r="C562" s="190"/>
      <c r="D562" s="195"/>
      <c r="E562" s="196"/>
      <c r="F562" s="197"/>
      <c r="H562" s="198"/>
      <c r="I562" s="198"/>
    </row>
    <row r="563" ht="19.5" customHeight="1">
      <c r="B563" s="194"/>
      <c r="C563" s="190"/>
      <c r="D563" s="195"/>
      <c r="E563" s="196"/>
      <c r="F563" s="197"/>
      <c r="H563" s="198"/>
      <c r="I563" s="198"/>
    </row>
    <row r="564" ht="19.5" customHeight="1">
      <c r="B564" s="194"/>
      <c r="C564" s="190"/>
      <c r="D564" s="195"/>
      <c r="E564" s="196"/>
      <c r="F564" s="197"/>
      <c r="H564" s="198"/>
      <c r="I564" s="198"/>
    </row>
    <row r="565" ht="19.5" customHeight="1">
      <c r="B565" s="194"/>
      <c r="C565" s="190"/>
      <c r="D565" s="195"/>
      <c r="E565" s="196"/>
      <c r="F565" s="197"/>
      <c r="H565" s="198"/>
      <c r="I565" s="198"/>
    </row>
    <row r="566" ht="19.5" customHeight="1">
      <c r="B566" s="194"/>
      <c r="C566" s="190"/>
      <c r="D566" s="195"/>
      <c r="E566" s="196"/>
      <c r="F566" s="197"/>
      <c r="H566" s="198"/>
      <c r="I566" s="198"/>
    </row>
    <row r="567" ht="19.5" customHeight="1">
      <c r="B567" s="194"/>
      <c r="C567" s="190"/>
      <c r="D567" s="195"/>
      <c r="E567" s="196"/>
      <c r="F567" s="197"/>
      <c r="H567" s="198"/>
      <c r="I567" s="198"/>
    </row>
    <row r="568" ht="19.5" customHeight="1">
      <c r="B568" s="194"/>
      <c r="C568" s="190"/>
      <c r="D568" s="195"/>
      <c r="E568" s="196"/>
      <c r="F568" s="197"/>
      <c r="H568" s="198"/>
      <c r="I568" s="198"/>
    </row>
    <row r="569" ht="19.5" customHeight="1">
      <c r="B569" s="194"/>
      <c r="C569" s="190"/>
      <c r="D569" s="195"/>
      <c r="E569" s="196"/>
      <c r="F569" s="197"/>
      <c r="H569" s="198"/>
      <c r="I569" s="198"/>
    </row>
    <row r="570" ht="19.5" customHeight="1">
      <c r="B570" s="194"/>
      <c r="C570" s="190"/>
      <c r="D570" s="195"/>
      <c r="E570" s="196"/>
      <c r="F570" s="197"/>
      <c r="H570" s="198"/>
      <c r="I570" s="198"/>
    </row>
    <row r="571" ht="19.5" customHeight="1">
      <c r="B571" s="194"/>
      <c r="C571" s="190"/>
      <c r="D571" s="195"/>
      <c r="E571" s="196"/>
      <c r="F571" s="197"/>
      <c r="H571" s="198"/>
      <c r="I571" s="198"/>
    </row>
    <row r="572" ht="19.5" customHeight="1">
      <c r="B572" s="194"/>
      <c r="C572" s="190"/>
      <c r="D572" s="195"/>
      <c r="E572" s="196"/>
      <c r="F572" s="197"/>
      <c r="H572" s="198"/>
      <c r="I572" s="198"/>
    </row>
    <row r="573" ht="19.5" customHeight="1">
      <c r="B573" s="194"/>
      <c r="C573" s="190"/>
      <c r="D573" s="195"/>
      <c r="E573" s="196"/>
      <c r="F573" s="197"/>
      <c r="H573" s="198"/>
      <c r="I573" s="198"/>
    </row>
    <row r="574" ht="19.5" customHeight="1">
      <c r="B574" s="194"/>
      <c r="C574" s="190"/>
      <c r="D574" s="195"/>
      <c r="E574" s="196"/>
      <c r="F574" s="197"/>
      <c r="H574" s="198"/>
      <c r="I574" s="198"/>
    </row>
    <row r="575" ht="19.5" customHeight="1">
      <c r="B575" s="194"/>
      <c r="C575" s="190"/>
      <c r="D575" s="195"/>
      <c r="E575" s="196"/>
      <c r="F575" s="197"/>
      <c r="H575" s="198"/>
      <c r="I575" s="198"/>
    </row>
    <row r="576" ht="19.5" customHeight="1">
      <c r="B576" s="194"/>
      <c r="C576" s="190"/>
      <c r="D576" s="195"/>
      <c r="E576" s="196"/>
      <c r="F576" s="197"/>
      <c r="H576" s="198"/>
      <c r="I576" s="198"/>
    </row>
    <row r="577" ht="19.5" customHeight="1">
      <c r="B577" s="194"/>
      <c r="C577" s="190"/>
      <c r="D577" s="195"/>
      <c r="E577" s="196"/>
      <c r="F577" s="197"/>
      <c r="H577" s="198"/>
      <c r="I577" s="198"/>
    </row>
    <row r="578" ht="19.5" customHeight="1">
      <c r="B578" s="194"/>
      <c r="C578" s="190"/>
      <c r="D578" s="195"/>
      <c r="E578" s="196"/>
      <c r="F578" s="197"/>
      <c r="H578" s="198"/>
      <c r="I578" s="198"/>
    </row>
    <row r="579" ht="19.5" customHeight="1">
      <c r="B579" s="194"/>
      <c r="C579" s="190"/>
      <c r="D579" s="195"/>
      <c r="E579" s="196"/>
      <c r="F579" s="197"/>
      <c r="H579" s="198"/>
      <c r="I579" s="198"/>
    </row>
    <row r="580" ht="19.5" customHeight="1">
      <c r="B580" s="194"/>
      <c r="C580" s="190"/>
      <c r="D580" s="195"/>
      <c r="E580" s="196"/>
      <c r="F580" s="197"/>
      <c r="H580" s="198"/>
      <c r="I580" s="198"/>
    </row>
    <row r="581" ht="19.5" customHeight="1">
      <c r="B581" s="194"/>
      <c r="C581" s="190"/>
      <c r="D581" s="195"/>
      <c r="E581" s="196"/>
      <c r="F581" s="197"/>
      <c r="H581" s="198"/>
      <c r="I581" s="198"/>
    </row>
    <row r="582" ht="19.5" customHeight="1">
      <c r="B582" s="194"/>
      <c r="C582" s="190"/>
      <c r="D582" s="195"/>
      <c r="E582" s="196"/>
      <c r="F582" s="197"/>
      <c r="H582" s="198"/>
      <c r="I582" s="198"/>
    </row>
    <row r="583" ht="19.5" customHeight="1">
      <c r="B583" s="194"/>
      <c r="C583" s="190"/>
      <c r="D583" s="195"/>
      <c r="E583" s="196"/>
      <c r="F583" s="197"/>
      <c r="H583" s="198"/>
      <c r="I583" s="198"/>
    </row>
    <row r="584" ht="19.5" customHeight="1">
      <c r="B584" s="194"/>
      <c r="C584" s="190"/>
      <c r="D584" s="195"/>
      <c r="E584" s="196"/>
      <c r="F584" s="197"/>
      <c r="H584" s="198"/>
      <c r="I584" s="198"/>
    </row>
    <row r="585" ht="19.5" customHeight="1">
      <c r="B585" s="194"/>
      <c r="C585" s="190"/>
      <c r="D585" s="195"/>
      <c r="E585" s="196"/>
      <c r="F585" s="197"/>
      <c r="H585" s="198"/>
      <c r="I585" s="198"/>
    </row>
    <row r="586" ht="19.5" customHeight="1">
      <c r="B586" s="194"/>
      <c r="C586" s="190"/>
      <c r="D586" s="195"/>
      <c r="E586" s="196"/>
      <c r="F586" s="197"/>
      <c r="H586" s="198"/>
      <c r="I586" s="198"/>
    </row>
    <row r="587" ht="19.5" customHeight="1">
      <c r="B587" s="194"/>
      <c r="C587" s="190"/>
      <c r="D587" s="195"/>
      <c r="E587" s="196"/>
      <c r="F587" s="197"/>
      <c r="H587" s="198"/>
      <c r="I587" s="198"/>
    </row>
    <row r="588" ht="19.5" customHeight="1">
      <c r="B588" s="194"/>
      <c r="C588" s="190"/>
      <c r="D588" s="195"/>
      <c r="E588" s="196"/>
      <c r="F588" s="197"/>
      <c r="H588" s="198"/>
      <c r="I588" s="198"/>
    </row>
    <row r="589" ht="19.5" customHeight="1">
      <c r="B589" s="194"/>
      <c r="C589" s="190"/>
      <c r="D589" s="195"/>
      <c r="E589" s="196"/>
      <c r="F589" s="197"/>
      <c r="H589" s="198"/>
      <c r="I589" s="198"/>
    </row>
    <row r="590" ht="19.5" customHeight="1">
      <c r="B590" s="194"/>
      <c r="C590" s="190"/>
      <c r="D590" s="195"/>
      <c r="E590" s="196"/>
      <c r="F590" s="197"/>
      <c r="H590" s="198"/>
      <c r="I590" s="198"/>
    </row>
    <row r="591" ht="19.5" customHeight="1">
      <c r="B591" s="194"/>
      <c r="C591" s="190"/>
      <c r="D591" s="195"/>
      <c r="E591" s="196"/>
      <c r="F591" s="197"/>
      <c r="H591" s="198"/>
      <c r="I591" s="198"/>
    </row>
    <row r="592" ht="19.5" customHeight="1">
      <c r="B592" s="194"/>
      <c r="C592" s="190"/>
      <c r="D592" s="195"/>
      <c r="E592" s="196"/>
      <c r="F592" s="197"/>
      <c r="H592" s="198"/>
      <c r="I592" s="198"/>
    </row>
    <row r="593" ht="19.5" customHeight="1">
      <c r="B593" s="194"/>
      <c r="C593" s="190"/>
      <c r="D593" s="195"/>
      <c r="E593" s="196"/>
      <c r="F593" s="197"/>
      <c r="H593" s="198"/>
      <c r="I593" s="198"/>
    </row>
    <row r="594" ht="19.5" customHeight="1">
      <c r="B594" s="194"/>
      <c r="C594" s="190"/>
      <c r="D594" s="195"/>
      <c r="E594" s="196"/>
      <c r="F594" s="197"/>
      <c r="H594" s="198"/>
      <c r="I594" s="198"/>
    </row>
    <row r="595" ht="19.5" customHeight="1">
      <c r="B595" s="194"/>
      <c r="C595" s="190"/>
      <c r="D595" s="195"/>
      <c r="E595" s="196"/>
      <c r="F595" s="197"/>
      <c r="H595" s="198"/>
      <c r="I595" s="198"/>
    </row>
    <row r="596" ht="19.5" customHeight="1">
      <c r="B596" s="194"/>
      <c r="C596" s="190"/>
      <c r="D596" s="195"/>
      <c r="E596" s="196"/>
      <c r="F596" s="197"/>
      <c r="H596" s="198"/>
      <c r="I596" s="198"/>
    </row>
    <row r="597" ht="19.5" customHeight="1">
      <c r="B597" s="194"/>
      <c r="C597" s="190"/>
      <c r="D597" s="195"/>
      <c r="E597" s="196"/>
      <c r="F597" s="197"/>
      <c r="H597" s="198"/>
      <c r="I597" s="198"/>
    </row>
    <row r="598" ht="19.5" customHeight="1">
      <c r="B598" s="194"/>
      <c r="C598" s="190"/>
      <c r="D598" s="195"/>
      <c r="E598" s="196"/>
      <c r="F598" s="197"/>
      <c r="H598" s="198"/>
      <c r="I598" s="198"/>
    </row>
    <row r="599" ht="19.5" customHeight="1">
      <c r="B599" s="194"/>
      <c r="C599" s="190"/>
      <c r="D599" s="195"/>
      <c r="E599" s="196"/>
      <c r="F599" s="197"/>
      <c r="H599" s="198"/>
      <c r="I599" s="198"/>
    </row>
    <row r="600" ht="19.5" customHeight="1">
      <c r="B600" s="194"/>
      <c r="C600" s="190"/>
      <c r="D600" s="195"/>
      <c r="E600" s="196"/>
      <c r="F600" s="197"/>
      <c r="H600" s="198"/>
      <c r="I600" s="198"/>
    </row>
    <row r="601" ht="19.5" customHeight="1">
      <c r="B601" s="194"/>
      <c r="C601" s="190"/>
      <c r="D601" s="195"/>
      <c r="E601" s="196"/>
      <c r="F601" s="197"/>
      <c r="H601" s="198"/>
      <c r="I601" s="198"/>
    </row>
    <row r="602" ht="19.5" customHeight="1">
      <c r="B602" s="194"/>
      <c r="C602" s="190"/>
      <c r="D602" s="195"/>
      <c r="E602" s="196"/>
      <c r="F602" s="197"/>
      <c r="H602" s="198"/>
      <c r="I602" s="198"/>
    </row>
    <row r="603" ht="19.5" customHeight="1">
      <c r="B603" s="194"/>
      <c r="C603" s="190"/>
      <c r="D603" s="195"/>
      <c r="E603" s="196"/>
      <c r="F603" s="197"/>
      <c r="H603" s="198"/>
      <c r="I603" s="198"/>
    </row>
    <row r="604" ht="19.5" customHeight="1">
      <c r="B604" s="194"/>
      <c r="C604" s="190"/>
      <c r="D604" s="195"/>
      <c r="E604" s="196"/>
      <c r="F604" s="197"/>
      <c r="H604" s="198"/>
      <c r="I604" s="198"/>
    </row>
    <row r="605" ht="19.5" customHeight="1">
      <c r="B605" s="194"/>
      <c r="C605" s="190"/>
      <c r="D605" s="195"/>
      <c r="E605" s="196"/>
      <c r="F605" s="197"/>
      <c r="H605" s="198"/>
      <c r="I605" s="198"/>
    </row>
    <row r="606" ht="19.5" customHeight="1">
      <c r="B606" s="194"/>
      <c r="C606" s="190"/>
      <c r="D606" s="195"/>
      <c r="E606" s="196"/>
      <c r="F606" s="197"/>
      <c r="H606" s="198"/>
      <c r="I606" s="198"/>
    </row>
    <row r="607" ht="19.5" customHeight="1">
      <c r="B607" s="194"/>
      <c r="C607" s="190"/>
      <c r="D607" s="195"/>
      <c r="E607" s="196"/>
      <c r="F607" s="197"/>
      <c r="H607" s="198"/>
      <c r="I607" s="198"/>
    </row>
    <row r="608" ht="19.5" customHeight="1">
      <c r="B608" s="194"/>
      <c r="C608" s="190"/>
      <c r="D608" s="195"/>
      <c r="E608" s="196"/>
      <c r="F608" s="197"/>
      <c r="H608" s="198"/>
      <c r="I608" s="198"/>
    </row>
    <row r="609" ht="19.5" customHeight="1">
      <c r="B609" s="194"/>
      <c r="C609" s="190"/>
      <c r="D609" s="195"/>
      <c r="E609" s="196"/>
      <c r="F609" s="197"/>
      <c r="H609" s="198"/>
      <c r="I609" s="198"/>
    </row>
    <row r="610" ht="19.5" customHeight="1">
      <c r="B610" s="194"/>
      <c r="C610" s="190"/>
      <c r="D610" s="195"/>
      <c r="E610" s="196"/>
      <c r="F610" s="197"/>
      <c r="H610" s="198"/>
      <c r="I610" s="198"/>
    </row>
    <row r="611" ht="19.5" customHeight="1">
      <c r="B611" s="194"/>
      <c r="C611" s="190"/>
      <c r="D611" s="195"/>
      <c r="E611" s="196"/>
      <c r="F611" s="197"/>
      <c r="H611" s="198"/>
      <c r="I611" s="198"/>
    </row>
    <row r="612" ht="19.5" customHeight="1">
      <c r="B612" s="194"/>
      <c r="C612" s="190"/>
      <c r="D612" s="195"/>
      <c r="E612" s="196"/>
      <c r="F612" s="197"/>
      <c r="H612" s="198"/>
      <c r="I612" s="198"/>
    </row>
    <row r="613" ht="19.5" customHeight="1">
      <c r="B613" s="194"/>
      <c r="C613" s="190"/>
      <c r="D613" s="195"/>
      <c r="E613" s="196"/>
      <c r="F613" s="197"/>
      <c r="H613" s="198"/>
      <c r="I613" s="198"/>
    </row>
    <row r="614" ht="19.5" customHeight="1">
      <c r="B614" s="194"/>
      <c r="C614" s="190"/>
      <c r="D614" s="195"/>
      <c r="E614" s="196"/>
      <c r="F614" s="197"/>
      <c r="H614" s="198"/>
      <c r="I614" s="198"/>
    </row>
    <row r="615" ht="19.5" customHeight="1">
      <c r="B615" s="194"/>
      <c r="C615" s="190"/>
      <c r="D615" s="195"/>
      <c r="E615" s="196"/>
      <c r="F615" s="197"/>
      <c r="H615" s="198"/>
      <c r="I615" s="198"/>
    </row>
    <row r="616" ht="19.5" customHeight="1">
      <c r="B616" s="194"/>
      <c r="C616" s="190"/>
      <c r="D616" s="195"/>
      <c r="E616" s="196"/>
      <c r="F616" s="197"/>
      <c r="H616" s="198"/>
      <c r="I616" s="198"/>
    </row>
    <row r="617" ht="19.5" customHeight="1">
      <c r="B617" s="194"/>
      <c r="C617" s="190"/>
      <c r="D617" s="195"/>
      <c r="E617" s="196"/>
      <c r="F617" s="197"/>
      <c r="H617" s="198"/>
      <c r="I617" s="198"/>
    </row>
    <row r="618" ht="19.5" customHeight="1">
      <c r="B618" s="194"/>
      <c r="C618" s="190"/>
      <c r="D618" s="195"/>
      <c r="E618" s="196"/>
      <c r="F618" s="197"/>
      <c r="H618" s="198"/>
      <c r="I618" s="198"/>
    </row>
    <row r="619" ht="19.5" customHeight="1">
      <c r="B619" s="194"/>
      <c r="C619" s="190"/>
      <c r="D619" s="195"/>
      <c r="E619" s="196"/>
      <c r="F619" s="197"/>
      <c r="H619" s="198"/>
      <c r="I619" s="198"/>
    </row>
    <row r="620" ht="19.5" customHeight="1">
      <c r="B620" s="194"/>
      <c r="C620" s="190"/>
      <c r="D620" s="195"/>
      <c r="E620" s="196"/>
      <c r="F620" s="197"/>
      <c r="H620" s="198"/>
      <c r="I620" s="198"/>
    </row>
    <row r="621" ht="19.5" customHeight="1">
      <c r="B621" s="194"/>
      <c r="C621" s="190"/>
      <c r="D621" s="195"/>
      <c r="E621" s="196"/>
      <c r="F621" s="197"/>
      <c r="H621" s="198"/>
      <c r="I621" s="198"/>
    </row>
    <row r="622" ht="19.5" customHeight="1">
      <c r="B622" s="194"/>
      <c r="C622" s="190"/>
      <c r="D622" s="195"/>
      <c r="E622" s="196"/>
      <c r="F622" s="197"/>
      <c r="H622" s="198"/>
      <c r="I622" s="198"/>
    </row>
    <row r="623" ht="19.5" customHeight="1">
      <c r="B623" s="194"/>
      <c r="C623" s="190"/>
      <c r="D623" s="195"/>
      <c r="E623" s="196"/>
      <c r="F623" s="197"/>
      <c r="H623" s="198"/>
      <c r="I623" s="198"/>
    </row>
    <row r="624" ht="19.5" customHeight="1">
      <c r="B624" s="194"/>
      <c r="C624" s="190"/>
      <c r="D624" s="195"/>
      <c r="E624" s="196"/>
      <c r="F624" s="197"/>
      <c r="H624" s="198"/>
      <c r="I624" s="198"/>
    </row>
    <row r="625" ht="19.5" customHeight="1">
      <c r="B625" s="194"/>
      <c r="C625" s="190"/>
      <c r="D625" s="195"/>
      <c r="E625" s="196"/>
      <c r="F625" s="197"/>
      <c r="H625" s="198"/>
      <c r="I625" s="198"/>
    </row>
    <row r="626" ht="19.5" customHeight="1">
      <c r="B626" s="194"/>
      <c r="C626" s="190"/>
      <c r="D626" s="195"/>
      <c r="E626" s="196"/>
      <c r="F626" s="197"/>
      <c r="H626" s="198"/>
      <c r="I626" s="198"/>
    </row>
    <row r="627" ht="19.5" customHeight="1">
      <c r="B627" s="194"/>
      <c r="C627" s="190"/>
      <c r="D627" s="195"/>
      <c r="E627" s="196"/>
      <c r="F627" s="197"/>
      <c r="H627" s="198"/>
      <c r="I627" s="198"/>
    </row>
    <row r="628" ht="19.5" customHeight="1">
      <c r="B628" s="194"/>
      <c r="C628" s="190"/>
      <c r="D628" s="195"/>
      <c r="E628" s="196"/>
      <c r="F628" s="197"/>
      <c r="H628" s="198"/>
      <c r="I628" s="198"/>
    </row>
    <row r="629" ht="19.5" customHeight="1">
      <c r="B629" s="194"/>
      <c r="C629" s="190"/>
      <c r="D629" s="195"/>
      <c r="E629" s="196"/>
      <c r="F629" s="197"/>
      <c r="H629" s="198"/>
      <c r="I629" s="198"/>
    </row>
    <row r="630" ht="19.5" customHeight="1">
      <c r="B630" s="194"/>
      <c r="C630" s="190"/>
      <c r="D630" s="195"/>
      <c r="E630" s="196"/>
      <c r="F630" s="197"/>
      <c r="H630" s="198"/>
      <c r="I630" s="198"/>
    </row>
    <row r="631" ht="19.5" customHeight="1">
      <c r="B631" s="194"/>
      <c r="C631" s="190"/>
      <c r="D631" s="195"/>
      <c r="E631" s="196"/>
      <c r="F631" s="197"/>
      <c r="H631" s="198"/>
      <c r="I631" s="198"/>
    </row>
    <row r="632" ht="19.5" customHeight="1">
      <c r="B632" s="194"/>
      <c r="C632" s="190"/>
      <c r="D632" s="195"/>
      <c r="E632" s="196"/>
      <c r="F632" s="197"/>
      <c r="H632" s="198"/>
      <c r="I632" s="198"/>
    </row>
    <row r="633" ht="19.5" customHeight="1">
      <c r="B633" s="194"/>
      <c r="C633" s="190"/>
      <c r="D633" s="195"/>
      <c r="E633" s="196"/>
      <c r="F633" s="197"/>
      <c r="H633" s="198"/>
      <c r="I633" s="198"/>
    </row>
    <row r="634" ht="19.5" customHeight="1">
      <c r="B634" s="194"/>
      <c r="C634" s="190"/>
      <c r="D634" s="195"/>
      <c r="E634" s="196"/>
      <c r="F634" s="197"/>
      <c r="H634" s="198"/>
      <c r="I634" s="198"/>
    </row>
    <row r="635" ht="19.5" customHeight="1">
      <c r="B635" s="194"/>
      <c r="C635" s="190"/>
      <c r="D635" s="195"/>
      <c r="E635" s="196"/>
      <c r="F635" s="197"/>
      <c r="H635" s="198"/>
      <c r="I635" s="198"/>
    </row>
    <row r="636" ht="19.5" customHeight="1">
      <c r="B636" s="194"/>
      <c r="C636" s="190"/>
      <c r="D636" s="195"/>
      <c r="E636" s="196"/>
      <c r="F636" s="197"/>
      <c r="H636" s="198"/>
      <c r="I636" s="198"/>
    </row>
    <row r="637" ht="19.5" customHeight="1">
      <c r="B637" s="194"/>
      <c r="C637" s="190"/>
      <c r="D637" s="195"/>
      <c r="E637" s="196"/>
      <c r="F637" s="197"/>
      <c r="H637" s="198"/>
      <c r="I637" s="198"/>
    </row>
    <row r="638" ht="19.5" customHeight="1">
      <c r="B638" s="194"/>
      <c r="C638" s="190"/>
      <c r="D638" s="195"/>
      <c r="E638" s="196"/>
      <c r="F638" s="197"/>
      <c r="H638" s="198"/>
      <c r="I638" s="198"/>
    </row>
    <row r="639" ht="19.5" customHeight="1">
      <c r="B639" s="194"/>
      <c r="C639" s="190"/>
      <c r="D639" s="195"/>
      <c r="E639" s="196"/>
      <c r="F639" s="197"/>
      <c r="H639" s="198"/>
      <c r="I639" s="198"/>
    </row>
    <row r="640" ht="19.5" customHeight="1">
      <c r="B640" s="194"/>
      <c r="C640" s="190"/>
      <c r="D640" s="195"/>
      <c r="E640" s="196"/>
      <c r="F640" s="197"/>
      <c r="H640" s="198"/>
      <c r="I640" s="198"/>
    </row>
    <row r="641" ht="19.5" customHeight="1">
      <c r="B641" s="194"/>
      <c r="C641" s="190"/>
      <c r="D641" s="195"/>
      <c r="E641" s="196"/>
      <c r="F641" s="197"/>
      <c r="H641" s="198"/>
      <c r="I641" s="198"/>
    </row>
    <row r="642" ht="19.5" customHeight="1">
      <c r="B642" s="194"/>
      <c r="C642" s="190"/>
      <c r="D642" s="195"/>
      <c r="E642" s="196"/>
      <c r="F642" s="197"/>
      <c r="H642" s="198"/>
      <c r="I642" s="198"/>
    </row>
    <row r="643" ht="19.5" customHeight="1">
      <c r="B643" s="194"/>
      <c r="C643" s="190"/>
      <c r="D643" s="195"/>
      <c r="E643" s="196"/>
      <c r="F643" s="197"/>
      <c r="H643" s="198"/>
      <c r="I643" s="198"/>
    </row>
    <row r="644" ht="19.5" customHeight="1">
      <c r="B644" s="194"/>
      <c r="C644" s="190"/>
      <c r="D644" s="195"/>
      <c r="E644" s="196"/>
      <c r="F644" s="197"/>
      <c r="H644" s="198"/>
      <c r="I644" s="198"/>
    </row>
    <row r="645" ht="19.5" customHeight="1">
      <c r="B645" s="194"/>
      <c r="C645" s="190"/>
      <c r="D645" s="195"/>
      <c r="E645" s="196"/>
      <c r="F645" s="197"/>
      <c r="H645" s="198"/>
      <c r="I645" s="198"/>
    </row>
    <row r="646" ht="19.5" customHeight="1">
      <c r="B646" s="194"/>
      <c r="C646" s="190"/>
      <c r="D646" s="195"/>
      <c r="E646" s="196"/>
      <c r="F646" s="197"/>
      <c r="H646" s="198"/>
      <c r="I646" s="198"/>
    </row>
    <row r="647" ht="19.5" customHeight="1">
      <c r="B647" s="194"/>
      <c r="C647" s="190"/>
      <c r="D647" s="195"/>
      <c r="E647" s="196"/>
      <c r="F647" s="197"/>
      <c r="H647" s="198"/>
      <c r="I647" s="198"/>
    </row>
    <row r="648" ht="19.5" customHeight="1">
      <c r="B648" s="194"/>
      <c r="C648" s="190"/>
      <c r="D648" s="195"/>
      <c r="E648" s="196"/>
      <c r="F648" s="197"/>
      <c r="H648" s="198"/>
      <c r="I648" s="198"/>
    </row>
    <row r="649" ht="19.5" customHeight="1">
      <c r="B649" s="194"/>
      <c r="C649" s="190"/>
      <c r="D649" s="195"/>
      <c r="E649" s="196"/>
      <c r="F649" s="197"/>
      <c r="H649" s="198"/>
      <c r="I649" s="198"/>
    </row>
    <row r="650" ht="19.5" customHeight="1">
      <c r="B650" s="194"/>
      <c r="C650" s="190"/>
      <c r="D650" s="195"/>
      <c r="E650" s="196"/>
      <c r="F650" s="197"/>
      <c r="H650" s="198"/>
      <c r="I650" s="198"/>
    </row>
    <row r="651" ht="19.5" customHeight="1">
      <c r="B651" s="194"/>
      <c r="C651" s="190"/>
      <c r="D651" s="195"/>
      <c r="E651" s="196"/>
      <c r="F651" s="197"/>
      <c r="H651" s="198"/>
      <c r="I651" s="198"/>
    </row>
    <row r="652" ht="19.5" customHeight="1">
      <c r="B652" s="194"/>
      <c r="C652" s="190"/>
      <c r="D652" s="195"/>
      <c r="E652" s="196"/>
      <c r="F652" s="197"/>
      <c r="H652" s="198"/>
      <c r="I652" s="198"/>
    </row>
    <row r="653" ht="19.5" customHeight="1">
      <c r="B653" s="194"/>
      <c r="C653" s="190"/>
      <c r="D653" s="195"/>
      <c r="E653" s="196"/>
      <c r="F653" s="197"/>
      <c r="H653" s="198"/>
      <c r="I653" s="198"/>
    </row>
    <row r="654" ht="19.5" customHeight="1">
      <c r="B654" s="194"/>
      <c r="C654" s="190"/>
      <c r="D654" s="195"/>
      <c r="E654" s="196"/>
      <c r="F654" s="197"/>
      <c r="H654" s="198"/>
      <c r="I654" s="198"/>
    </row>
    <row r="655" ht="19.5" customHeight="1">
      <c r="B655" s="194"/>
      <c r="C655" s="190"/>
      <c r="D655" s="195"/>
      <c r="E655" s="196"/>
      <c r="F655" s="197"/>
      <c r="H655" s="198"/>
      <c r="I655" s="198"/>
    </row>
    <row r="656" ht="19.5" customHeight="1">
      <c r="B656" s="194"/>
      <c r="C656" s="190"/>
      <c r="D656" s="195"/>
      <c r="E656" s="196"/>
      <c r="F656" s="197"/>
      <c r="H656" s="198"/>
      <c r="I656" s="198"/>
    </row>
    <row r="657" ht="19.5" customHeight="1">
      <c r="B657" s="194"/>
      <c r="C657" s="190"/>
      <c r="D657" s="195"/>
      <c r="E657" s="196"/>
      <c r="F657" s="197"/>
      <c r="H657" s="198"/>
      <c r="I657" s="198"/>
    </row>
    <row r="658" ht="19.5" customHeight="1">
      <c r="B658" s="194"/>
      <c r="C658" s="190"/>
      <c r="D658" s="195"/>
      <c r="E658" s="196"/>
      <c r="F658" s="197"/>
      <c r="H658" s="198"/>
      <c r="I658" s="198"/>
    </row>
    <row r="659" ht="19.5" customHeight="1">
      <c r="B659" s="194"/>
      <c r="C659" s="190"/>
      <c r="D659" s="195"/>
      <c r="E659" s="196"/>
      <c r="F659" s="197"/>
      <c r="H659" s="198"/>
      <c r="I659" s="198"/>
    </row>
    <row r="660" ht="19.5" customHeight="1">
      <c r="B660" s="194"/>
      <c r="C660" s="190"/>
      <c r="D660" s="195"/>
      <c r="E660" s="196"/>
      <c r="F660" s="197"/>
      <c r="H660" s="198"/>
      <c r="I660" s="198"/>
    </row>
    <row r="661" ht="19.5" customHeight="1">
      <c r="B661" s="194"/>
      <c r="C661" s="190"/>
      <c r="D661" s="195"/>
      <c r="E661" s="196"/>
      <c r="F661" s="197"/>
      <c r="H661" s="198"/>
      <c r="I661" s="198"/>
    </row>
    <row r="662" ht="19.5" customHeight="1">
      <c r="B662" s="194"/>
      <c r="C662" s="190"/>
      <c r="D662" s="195"/>
      <c r="E662" s="196"/>
      <c r="F662" s="197"/>
      <c r="H662" s="198"/>
      <c r="I662" s="198"/>
    </row>
    <row r="663" ht="19.5" customHeight="1">
      <c r="B663" s="194"/>
      <c r="C663" s="190"/>
      <c r="D663" s="195"/>
      <c r="E663" s="196"/>
      <c r="F663" s="197"/>
      <c r="H663" s="198"/>
      <c r="I663" s="198"/>
    </row>
    <row r="664" ht="19.5" customHeight="1">
      <c r="B664" s="194"/>
      <c r="C664" s="190"/>
      <c r="D664" s="195"/>
      <c r="E664" s="196"/>
      <c r="F664" s="197"/>
      <c r="H664" s="198"/>
      <c r="I664" s="198"/>
    </row>
    <row r="665" ht="19.5" customHeight="1">
      <c r="B665" s="194"/>
      <c r="C665" s="190"/>
      <c r="D665" s="195"/>
      <c r="E665" s="196"/>
      <c r="F665" s="197"/>
      <c r="H665" s="198"/>
      <c r="I665" s="198"/>
    </row>
    <row r="666" ht="19.5" customHeight="1">
      <c r="B666" s="194"/>
      <c r="C666" s="190"/>
      <c r="D666" s="195"/>
      <c r="E666" s="196"/>
      <c r="F666" s="197"/>
      <c r="H666" s="198"/>
      <c r="I666" s="198"/>
    </row>
    <row r="667" ht="19.5" customHeight="1">
      <c r="B667" s="194"/>
      <c r="C667" s="190"/>
      <c r="D667" s="195"/>
      <c r="E667" s="196"/>
      <c r="F667" s="197"/>
      <c r="H667" s="198"/>
      <c r="I667" s="198"/>
    </row>
    <row r="668" ht="19.5" customHeight="1">
      <c r="B668" s="194"/>
      <c r="C668" s="190"/>
      <c r="D668" s="195"/>
      <c r="E668" s="196"/>
      <c r="F668" s="197"/>
      <c r="H668" s="198"/>
      <c r="I668" s="198"/>
    </row>
    <row r="669" ht="19.5" customHeight="1">
      <c r="B669" s="194"/>
      <c r="C669" s="190"/>
      <c r="D669" s="195"/>
      <c r="E669" s="196"/>
      <c r="F669" s="197"/>
      <c r="H669" s="198"/>
      <c r="I669" s="198"/>
    </row>
    <row r="670" ht="19.5" customHeight="1">
      <c r="B670" s="194"/>
      <c r="C670" s="190"/>
      <c r="D670" s="195"/>
      <c r="E670" s="196"/>
      <c r="F670" s="197"/>
      <c r="H670" s="198"/>
      <c r="I670" s="198"/>
    </row>
    <row r="671" ht="19.5" customHeight="1">
      <c r="B671" s="194"/>
      <c r="C671" s="190"/>
      <c r="D671" s="195"/>
      <c r="E671" s="196"/>
      <c r="F671" s="197"/>
      <c r="H671" s="198"/>
      <c r="I671" s="198"/>
    </row>
    <row r="672" ht="19.5" customHeight="1">
      <c r="B672" s="194"/>
      <c r="C672" s="190"/>
      <c r="D672" s="195"/>
      <c r="E672" s="196"/>
      <c r="F672" s="197"/>
      <c r="H672" s="198"/>
      <c r="I672" s="198"/>
    </row>
    <row r="673" ht="19.5" customHeight="1">
      <c r="B673" s="194"/>
      <c r="C673" s="190"/>
      <c r="D673" s="195"/>
      <c r="E673" s="196"/>
      <c r="F673" s="197"/>
      <c r="H673" s="198"/>
      <c r="I673" s="198"/>
    </row>
    <row r="674" ht="19.5" customHeight="1">
      <c r="B674" s="194"/>
      <c r="C674" s="190"/>
      <c r="D674" s="195"/>
      <c r="E674" s="196"/>
      <c r="F674" s="197"/>
      <c r="H674" s="198"/>
      <c r="I674" s="198"/>
    </row>
    <row r="675" ht="19.5" customHeight="1">
      <c r="B675" s="194"/>
      <c r="C675" s="190"/>
      <c r="D675" s="195"/>
      <c r="E675" s="196"/>
      <c r="F675" s="197"/>
      <c r="H675" s="198"/>
      <c r="I675" s="198"/>
    </row>
    <row r="676" ht="19.5" customHeight="1">
      <c r="B676" s="194"/>
      <c r="C676" s="190"/>
      <c r="D676" s="195"/>
      <c r="E676" s="196"/>
      <c r="F676" s="197"/>
      <c r="H676" s="198"/>
      <c r="I676" s="198"/>
    </row>
    <row r="677" ht="19.5" customHeight="1">
      <c r="B677" s="194"/>
      <c r="C677" s="190"/>
      <c r="D677" s="195"/>
      <c r="E677" s="196"/>
      <c r="F677" s="197"/>
      <c r="H677" s="198"/>
      <c r="I677" s="198"/>
    </row>
    <row r="678" ht="19.5" customHeight="1">
      <c r="B678" s="194"/>
      <c r="C678" s="190"/>
      <c r="D678" s="195"/>
      <c r="E678" s="196"/>
      <c r="F678" s="197"/>
      <c r="H678" s="198"/>
      <c r="I678" s="198"/>
    </row>
    <row r="679" ht="19.5" customHeight="1">
      <c r="B679" s="194"/>
      <c r="C679" s="190"/>
      <c r="D679" s="195"/>
      <c r="E679" s="196"/>
      <c r="F679" s="197"/>
      <c r="H679" s="198"/>
      <c r="I679" s="198"/>
    </row>
    <row r="680" ht="19.5" customHeight="1">
      <c r="B680" s="194"/>
      <c r="C680" s="190"/>
      <c r="D680" s="195"/>
      <c r="E680" s="196"/>
      <c r="F680" s="197"/>
      <c r="H680" s="198"/>
      <c r="I680" s="198"/>
    </row>
    <row r="681" ht="19.5" customHeight="1">
      <c r="B681" s="194"/>
      <c r="C681" s="190"/>
      <c r="D681" s="195"/>
      <c r="E681" s="196"/>
      <c r="F681" s="197"/>
      <c r="H681" s="198"/>
      <c r="I681" s="198"/>
    </row>
    <row r="682" ht="19.5" customHeight="1">
      <c r="B682" s="194"/>
      <c r="C682" s="190"/>
      <c r="D682" s="195"/>
      <c r="E682" s="196"/>
      <c r="F682" s="197"/>
      <c r="H682" s="198"/>
      <c r="I682" s="198"/>
    </row>
    <row r="683" ht="19.5" customHeight="1">
      <c r="B683" s="194"/>
      <c r="C683" s="190"/>
      <c r="D683" s="195"/>
      <c r="E683" s="196"/>
      <c r="F683" s="197"/>
      <c r="H683" s="198"/>
      <c r="I683" s="198"/>
    </row>
    <row r="684" ht="19.5" customHeight="1">
      <c r="B684" s="194"/>
      <c r="C684" s="190"/>
      <c r="D684" s="195"/>
      <c r="E684" s="196"/>
      <c r="F684" s="197"/>
      <c r="H684" s="198"/>
      <c r="I684" s="198"/>
    </row>
    <row r="685" ht="19.5" customHeight="1">
      <c r="B685" s="194"/>
      <c r="C685" s="190"/>
      <c r="D685" s="195"/>
      <c r="E685" s="196"/>
      <c r="F685" s="197"/>
      <c r="H685" s="198"/>
      <c r="I685" s="198"/>
    </row>
    <row r="686" ht="19.5" customHeight="1">
      <c r="B686" s="194"/>
      <c r="C686" s="190"/>
      <c r="D686" s="195"/>
      <c r="E686" s="196"/>
      <c r="F686" s="197"/>
      <c r="H686" s="198"/>
      <c r="I686" s="198"/>
    </row>
    <row r="687" ht="19.5" customHeight="1">
      <c r="B687" s="194"/>
      <c r="C687" s="190"/>
      <c r="D687" s="195"/>
      <c r="E687" s="196"/>
      <c r="F687" s="197"/>
      <c r="H687" s="198"/>
      <c r="I687" s="198"/>
    </row>
    <row r="688" ht="19.5" customHeight="1">
      <c r="B688" s="194"/>
      <c r="C688" s="190"/>
      <c r="D688" s="195"/>
      <c r="E688" s="196"/>
      <c r="F688" s="197"/>
      <c r="H688" s="198"/>
      <c r="I688" s="198"/>
    </row>
    <row r="689" ht="19.5" customHeight="1">
      <c r="B689" s="194"/>
      <c r="C689" s="190"/>
      <c r="D689" s="195"/>
      <c r="E689" s="196"/>
      <c r="F689" s="197"/>
      <c r="H689" s="198"/>
      <c r="I689" s="198"/>
    </row>
    <row r="690" ht="19.5" customHeight="1">
      <c r="B690" s="194"/>
      <c r="C690" s="190"/>
      <c r="D690" s="195"/>
      <c r="E690" s="196"/>
      <c r="F690" s="197"/>
      <c r="H690" s="198"/>
      <c r="I690" s="198"/>
    </row>
    <row r="691" ht="19.5" customHeight="1">
      <c r="B691" s="194"/>
      <c r="C691" s="190"/>
      <c r="D691" s="195"/>
      <c r="E691" s="196"/>
      <c r="F691" s="197"/>
      <c r="H691" s="198"/>
      <c r="I691" s="198"/>
    </row>
    <row r="692" ht="19.5" customHeight="1">
      <c r="B692" s="194"/>
      <c r="C692" s="190"/>
      <c r="D692" s="195"/>
      <c r="E692" s="196"/>
      <c r="F692" s="197"/>
      <c r="H692" s="198"/>
      <c r="I692" s="198"/>
    </row>
    <row r="693" ht="19.5" customHeight="1">
      <c r="B693" s="194"/>
      <c r="C693" s="190"/>
      <c r="D693" s="195"/>
      <c r="E693" s="196"/>
      <c r="F693" s="197"/>
      <c r="H693" s="198"/>
      <c r="I693" s="198"/>
    </row>
    <row r="694" ht="19.5" customHeight="1">
      <c r="B694" s="194"/>
      <c r="C694" s="190"/>
      <c r="D694" s="195"/>
      <c r="E694" s="196"/>
      <c r="F694" s="197"/>
      <c r="H694" s="198"/>
      <c r="I694" s="198"/>
    </row>
    <row r="695" ht="19.5" customHeight="1">
      <c r="B695" s="194"/>
      <c r="C695" s="190"/>
      <c r="D695" s="195"/>
      <c r="E695" s="196"/>
      <c r="F695" s="197"/>
      <c r="H695" s="198"/>
      <c r="I695" s="198"/>
    </row>
    <row r="696" ht="19.5" customHeight="1">
      <c r="B696" s="194"/>
      <c r="C696" s="190"/>
      <c r="D696" s="195"/>
      <c r="E696" s="196"/>
      <c r="F696" s="197"/>
      <c r="H696" s="198"/>
      <c r="I696" s="198"/>
    </row>
    <row r="697" ht="19.5" customHeight="1">
      <c r="B697" s="194"/>
      <c r="C697" s="190"/>
      <c r="D697" s="195"/>
      <c r="E697" s="196"/>
      <c r="F697" s="197"/>
      <c r="H697" s="198"/>
      <c r="I697" s="198"/>
    </row>
    <row r="698" ht="19.5" customHeight="1">
      <c r="B698" s="194"/>
      <c r="C698" s="190"/>
      <c r="D698" s="195"/>
      <c r="E698" s="196"/>
      <c r="F698" s="197"/>
      <c r="H698" s="198"/>
      <c r="I698" s="198"/>
    </row>
    <row r="699" ht="19.5" customHeight="1">
      <c r="B699" s="194"/>
      <c r="C699" s="190"/>
      <c r="D699" s="195"/>
      <c r="E699" s="196"/>
      <c r="F699" s="197"/>
      <c r="H699" s="198"/>
      <c r="I699" s="198"/>
    </row>
    <row r="700" ht="19.5" customHeight="1">
      <c r="B700" s="194"/>
      <c r="C700" s="190"/>
      <c r="D700" s="195"/>
      <c r="E700" s="196"/>
      <c r="F700" s="197"/>
      <c r="H700" s="198"/>
      <c r="I700" s="198"/>
    </row>
    <row r="701" ht="19.5" customHeight="1">
      <c r="B701" s="194"/>
      <c r="C701" s="190"/>
      <c r="D701" s="195"/>
      <c r="E701" s="196"/>
      <c r="F701" s="197"/>
      <c r="H701" s="198"/>
      <c r="I701" s="198"/>
    </row>
    <row r="702" ht="19.5" customHeight="1">
      <c r="B702" s="194"/>
      <c r="C702" s="190"/>
      <c r="D702" s="195"/>
      <c r="E702" s="196"/>
      <c r="F702" s="197"/>
      <c r="H702" s="198"/>
      <c r="I702" s="198"/>
    </row>
    <row r="703" ht="19.5" customHeight="1">
      <c r="B703" s="194"/>
      <c r="C703" s="190"/>
      <c r="D703" s="195"/>
      <c r="E703" s="196"/>
      <c r="F703" s="197"/>
      <c r="H703" s="198"/>
      <c r="I703" s="198"/>
    </row>
    <row r="704" ht="19.5" customHeight="1">
      <c r="B704" s="194"/>
      <c r="C704" s="190"/>
      <c r="D704" s="195"/>
      <c r="E704" s="196"/>
      <c r="F704" s="197"/>
      <c r="H704" s="198"/>
      <c r="I704" s="198"/>
    </row>
    <row r="705" ht="19.5" customHeight="1">
      <c r="B705" s="194"/>
      <c r="C705" s="190"/>
      <c r="D705" s="195"/>
      <c r="E705" s="196"/>
      <c r="F705" s="197"/>
      <c r="H705" s="198"/>
      <c r="I705" s="198"/>
    </row>
    <row r="706" ht="19.5" customHeight="1">
      <c r="B706" s="194"/>
      <c r="C706" s="190"/>
      <c r="D706" s="195"/>
      <c r="E706" s="196"/>
      <c r="F706" s="197"/>
      <c r="H706" s="198"/>
      <c r="I706" s="198"/>
    </row>
    <row r="707" ht="19.5" customHeight="1">
      <c r="B707" s="194"/>
      <c r="C707" s="190"/>
      <c r="D707" s="195"/>
      <c r="E707" s="196"/>
      <c r="F707" s="197"/>
      <c r="H707" s="198"/>
      <c r="I707" s="198"/>
    </row>
    <row r="708" ht="19.5" customHeight="1">
      <c r="B708" s="194"/>
      <c r="C708" s="190"/>
      <c r="D708" s="195"/>
      <c r="E708" s="196"/>
      <c r="F708" s="197"/>
      <c r="H708" s="198"/>
      <c r="I708" s="198"/>
    </row>
    <row r="709" ht="19.5" customHeight="1">
      <c r="B709" s="194"/>
      <c r="C709" s="190"/>
      <c r="D709" s="195"/>
      <c r="E709" s="196"/>
      <c r="F709" s="197"/>
      <c r="H709" s="198"/>
      <c r="I709" s="198"/>
    </row>
    <row r="710" ht="19.5" customHeight="1">
      <c r="B710" s="194"/>
      <c r="C710" s="190"/>
      <c r="D710" s="195"/>
      <c r="E710" s="196"/>
      <c r="F710" s="197"/>
      <c r="H710" s="198"/>
      <c r="I710" s="198"/>
    </row>
    <row r="711" ht="19.5" customHeight="1">
      <c r="B711" s="194"/>
      <c r="C711" s="190"/>
      <c r="D711" s="195"/>
      <c r="E711" s="196"/>
      <c r="F711" s="197"/>
      <c r="H711" s="198"/>
      <c r="I711" s="198"/>
    </row>
    <row r="712" ht="19.5" customHeight="1">
      <c r="B712" s="194"/>
      <c r="C712" s="190"/>
      <c r="D712" s="195"/>
      <c r="E712" s="196"/>
      <c r="F712" s="197"/>
      <c r="H712" s="198"/>
      <c r="I712" s="198"/>
    </row>
    <row r="713" ht="19.5" customHeight="1">
      <c r="B713" s="194"/>
      <c r="C713" s="190"/>
      <c r="D713" s="195"/>
      <c r="E713" s="196"/>
      <c r="F713" s="197"/>
      <c r="H713" s="198"/>
      <c r="I713" s="198"/>
    </row>
    <row r="714" ht="19.5" customHeight="1">
      <c r="B714" s="194"/>
      <c r="C714" s="190"/>
      <c r="D714" s="195"/>
      <c r="E714" s="196"/>
      <c r="F714" s="197"/>
      <c r="H714" s="198"/>
      <c r="I714" s="198"/>
    </row>
    <row r="715" ht="19.5" customHeight="1">
      <c r="B715" s="194"/>
      <c r="C715" s="190"/>
      <c r="D715" s="195"/>
      <c r="E715" s="196"/>
      <c r="F715" s="197"/>
      <c r="H715" s="198"/>
      <c r="I715" s="198"/>
    </row>
    <row r="716" ht="19.5" customHeight="1">
      <c r="B716" s="194"/>
      <c r="C716" s="190"/>
      <c r="D716" s="195"/>
      <c r="E716" s="196"/>
      <c r="F716" s="197"/>
      <c r="H716" s="198"/>
      <c r="I716" s="198"/>
    </row>
    <row r="717" ht="19.5" customHeight="1">
      <c r="B717" s="194"/>
      <c r="C717" s="190"/>
      <c r="D717" s="195"/>
      <c r="E717" s="196"/>
      <c r="F717" s="197"/>
      <c r="H717" s="198"/>
      <c r="I717" s="198"/>
    </row>
    <row r="718" ht="19.5" customHeight="1">
      <c r="B718" s="194"/>
      <c r="C718" s="190"/>
      <c r="D718" s="195"/>
      <c r="E718" s="196"/>
      <c r="F718" s="197"/>
      <c r="H718" s="198"/>
      <c r="I718" s="198"/>
    </row>
    <row r="719" ht="19.5" customHeight="1">
      <c r="B719" s="194"/>
      <c r="C719" s="190"/>
      <c r="D719" s="195"/>
      <c r="E719" s="196"/>
      <c r="F719" s="197"/>
      <c r="H719" s="198"/>
      <c r="I719" s="198"/>
    </row>
    <row r="720" ht="19.5" customHeight="1">
      <c r="B720" s="194"/>
      <c r="C720" s="190"/>
      <c r="D720" s="195"/>
      <c r="E720" s="196"/>
      <c r="F720" s="197"/>
      <c r="H720" s="198"/>
      <c r="I720" s="198"/>
    </row>
    <row r="721" ht="19.5" customHeight="1">
      <c r="B721" s="194"/>
      <c r="C721" s="190"/>
      <c r="D721" s="195"/>
      <c r="E721" s="196"/>
      <c r="F721" s="197"/>
      <c r="H721" s="198"/>
      <c r="I721" s="198"/>
    </row>
    <row r="722" ht="19.5" customHeight="1">
      <c r="B722" s="194"/>
      <c r="C722" s="190"/>
      <c r="D722" s="195"/>
      <c r="E722" s="196"/>
      <c r="F722" s="197"/>
      <c r="H722" s="198"/>
      <c r="I722" s="198"/>
    </row>
    <row r="723" ht="19.5" customHeight="1">
      <c r="B723" s="194"/>
      <c r="C723" s="190"/>
      <c r="D723" s="195"/>
      <c r="E723" s="196"/>
      <c r="F723" s="197"/>
      <c r="H723" s="198"/>
      <c r="I723" s="198"/>
    </row>
    <row r="724" ht="19.5" customHeight="1">
      <c r="B724" s="194"/>
      <c r="C724" s="190"/>
      <c r="D724" s="195"/>
      <c r="E724" s="196"/>
      <c r="F724" s="197"/>
      <c r="H724" s="198"/>
      <c r="I724" s="198"/>
    </row>
    <row r="725" ht="19.5" customHeight="1">
      <c r="B725" s="194"/>
      <c r="C725" s="190"/>
      <c r="D725" s="195"/>
      <c r="E725" s="196"/>
      <c r="F725" s="197"/>
      <c r="H725" s="198"/>
      <c r="I725" s="198"/>
    </row>
    <row r="726" ht="19.5" customHeight="1">
      <c r="B726" s="194"/>
      <c r="C726" s="190"/>
      <c r="D726" s="195"/>
      <c r="E726" s="196"/>
      <c r="F726" s="197"/>
      <c r="H726" s="198"/>
      <c r="I726" s="198"/>
    </row>
    <row r="727" ht="19.5" customHeight="1">
      <c r="B727" s="194"/>
      <c r="C727" s="190"/>
      <c r="D727" s="195"/>
      <c r="E727" s="196"/>
      <c r="F727" s="197"/>
      <c r="H727" s="198"/>
      <c r="I727" s="198"/>
    </row>
    <row r="728" ht="19.5" customHeight="1">
      <c r="B728" s="194"/>
      <c r="C728" s="190"/>
      <c r="D728" s="195"/>
      <c r="E728" s="196"/>
      <c r="F728" s="197"/>
      <c r="H728" s="198"/>
      <c r="I728" s="198"/>
    </row>
    <row r="729" ht="19.5" customHeight="1">
      <c r="B729" s="194"/>
      <c r="C729" s="190"/>
      <c r="D729" s="195"/>
      <c r="E729" s="196"/>
      <c r="F729" s="197"/>
      <c r="H729" s="198"/>
      <c r="I729" s="198"/>
    </row>
    <row r="730" ht="19.5" customHeight="1">
      <c r="B730" s="194"/>
      <c r="C730" s="190"/>
      <c r="D730" s="195"/>
      <c r="E730" s="196"/>
      <c r="F730" s="197"/>
      <c r="H730" s="198"/>
      <c r="I730" s="198"/>
    </row>
    <row r="731" ht="19.5" customHeight="1">
      <c r="B731" s="194"/>
      <c r="C731" s="190"/>
      <c r="D731" s="195"/>
      <c r="E731" s="196"/>
      <c r="F731" s="197"/>
      <c r="H731" s="198"/>
      <c r="I731" s="198"/>
    </row>
    <row r="732" ht="19.5" customHeight="1">
      <c r="B732" s="194"/>
      <c r="C732" s="190"/>
      <c r="D732" s="195"/>
      <c r="E732" s="196"/>
      <c r="F732" s="197"/>
      <c r="H732" s="198"/>
      <c r="I732" s="198"/>
    </row>
    <row r="733" ht="19.5" customHeight="1">
      <c r="B733" s="194"/>
      <c r="C733" s="190"/>
      <c r="D733" s="195"/>
      <c r="E733" s="196"/>
      <c r="F733" s="197"/>
      <c r="H733" s="198"/>
      <c r="I733" s="198"/>
    </row>
    <row r="734" ht="19.5" customHeight="1">
      <c r="B734" s="194"/>
      <c r="C734" s="190"/>
      <c r="D734" s="195"/>
      <c r="E734" s="196"/>
      <c r="F734" s="197"/>
      <c r="H734" s="198"/>
      <c r="I734" s="198"/>
    </row>
    <row r="735" ht="19.5" customHeight="1">
      <c r="B735" s="194"/>
      <c r="C735" s="190"/>
      <c r="D735" s="195"/>
      <c r="E735" s="196"/>
      <c r="F735" s="197"/>
      <c r="H735" s="198"/>
      <c r="I735" s="198"/>
    </row>
    <row r="736" ht="19.5" customHeight="1">
      <c r="B736" s="194"/>
      <c r="C736" s="190"/>
      <c r="D736" s="195"/>
      <c r="E736" s="196"/>
      <c r="F736" s="197"/>
      <c r="H736" s="198"/>
      <c r="I736" s="198"/>
    </row>
    <row r="737" ht="19.5" customHeight="1">
      <c r="B737" s="194"/>
      <c r="C737" s="190"/>
      <c r="D737" s="195"/>
      <c r="E737" s="196"/>
      <c r="F737" s="197"/>
      <c r="H737" s="198"/>
      <c r="I737" s="198"/>
    </row>
    <row r="738" ht="19.5" customHeight="1">
      <c r="B738" s="194"/>
      <c r="C738" s="190"/>
      <c r="D738" s="195"/>
      <c r="E738" s="196"/>
      <c r="F738" s="197"/>
      <c r="H738" s="198"/>
      <c r="I738" s="198"/>
    </row>
    <row r="739" ht="19.5" customHeight="1">
      <c r="B739" s="194"/>
      <c r="C739" s="190"/>
      <c r="D739" s="195"/>
      <c r="E739" s="196"/>
      <c r="F739" s="197"/>
      <c r="H739" s="198"/>
      <c r="I739" s="198"/>
    </row>
    <row r="740" ht="19.5" customHeight="1">
      <c r="B740" s="194"/>
      <c r="C740" s="190"/>
      <c r="D740" s="195"/>
      <c r="E740" s="196"/>
      <c r="F740" s="197"/>
      <c r="H740" s="198"/>
      <c r="I740" s="198"/>
    </row>
    <row r="741" ht="19.5" customHeight="1">
      <c r="B741" s="194"/>
      <c r="C741" s="190"/>
      <c r="D741" s="195"/>
      <c r="E741" s="196"/>
      <c r="F741" s="197"/>
      <c r="H741" s="198"/>
      <c r="I741" s="198"/>
    </row>
    <row r="742" ht="19.5" customHeight="1">
      <c r="B742" s="194"/>
      <c r="C742" s="190"/>
      <c r="D742" s="195"/>
      <c r="E742" s="196"/>
      <c r="F742" s="197"/>
      <c r="H742" s="198"/>
      <c r="I742" s="198"/>
    </row>
    <row r="743" ht="19.5" customHeight="1">
      <c r="B743" s="194"/>
      <c r="C743" s="190"/>
      <c r="D743" s="195"/>
      <c r="E743" s="196"/>
      <c r="F743" s="197"/>
      <c r="H743" s="198"/>
      <c r="I743" s="198"/>
    </row>
    <row r="744" ht="19.5" customHeight="1">
      <c r="B744" s="194"/>
      <c r="C744" s="190"/>
      <c r="D744" s="195"/>
      <c r="E744" s="196"/>
      <c r="F744" s="197"/>
      <c r="H744" s="198"/>
      <c r="I744" s="198"/>
    </row>
    <row r="745" ht="19.5" customHeight="1">
      <c r="B745" s="194"/>
      <c r="C745" s="190"/>
      <c r="D745" s="195"/>
      <c r="E745" s="196"/>
      <c r="F745" s="197"/>
      <c r="H745" s="198"/>
      <c r="I745" s="198"/>
    </row>
    <row r="746" ht="19.5" customHeight="1">
      <c r="B746" s="194"/>
      <c r="C746" s="190"/>
      <c r="D746" s="195"/>
      <c r="E746" s="196"/>
      <c r="F746" s="197"/>
      <c r="H746" s="198"/>
      <c r="I746" s="198"/>
    </row>
    <row r="747" ht="19.5" customHeight="1">
      <c r="B747" s="194"/>
      <c r="C747" s="190"/>
      <c r="D747" s="195"/>
      <c r="E747" s="196"/>
      <c r="F747" s="197"/>
      <c r="H747" s="198"/>
      <c r="I747" s="198"/>
    </row>
    <row r="748" ht="19.5" customHeight="1">
      <c r="B748" s="194"/>
      <c r="C748" s="190"/>
      <c r="D748" s="195"/>
      <c r="E748" s="196"/>
      <c r="F748" s="197"/>
      <c r="H748" s="198"/>
      <c r="I748" s="198"/>
    </row>
    <row r="749" ht="19.5" customHeight="1">
      <c r="B749" s="194"/>
      <c r="C749" s="190"/>
      <c r="D749" s="195"/>
      <c r="E749" s="196"/>
      <c r="F749" s="197"/>
      <c r="H749" s="198"/>
      <c r="I749" s="198"/>
    </row>
    <row r="750" ht="19.5" customHeight="1">
      <c r="B750" s="194"/>
      <c r="C750" s="190"/>
      <c r="D750" s="195"/>
      <c r="E750" s="196"/>
      <c r="F750" s="197"/>
      <c r="H750" s="198"/>
      <c r="I750" s="198"/>
    </row>
    <row r="751" ht="19.5" customHeight="1">
      <c r="B751" s="194"/>
      <c r="C751" s="190"/>
      <c r="D751" s="195"/>
      <c r="E751" s="196"/>
      <c r="F751" s="197"/>
      <c r="H751" s="198"/>
      <c r="I751" s="198"/>
    </row>
    <row r="752" ht="19.5" customHeight="1">
      <c r="B752" s="194"/>
      <c r="C752" s="190"/>
      <c r="D752" s="195"/>
      <c r="E752" s="196"/>
      <c r="F752" s="197"/>
      <c r="H752" s="198"/>
      <c r="I752" s="198"/>
    </row>
    <row r="753" ht="19.5" customHeight="1">
      <c r="B753" s="194"/>
      <c r="C753" s="190"/>
      <c r="D753" s="195"/>
      <c r="E753" s="196"/>
      <c r="F753" s="197"/>
      <c r="H753" s="198"/>
      <c r="I753" s="198"/>
    </row>
    <row r="754" ht="19.5" customHeight="1">
      <c r="B754" s="194"/>
      <c r="C754" s="190"/>
      <c r="D754" s="195"/>
      <c r="E754" s="196"/>
      <c r="F754" s="197"/>
      <c r="H754" s="198"/>
      <c r="I754" s="198"/>
    </row>
    <row r="755" ht="19.5" customHeight="1">
      <c r="B755" s="194"/>
      <c r="C755" s="190"/>
      <c r="D755" s="195"/>
      <c r="E755" s="196"/>
      <c r="F755" s="197"/>
      <c r="H755" s="198"/>
      <c r="I755" s="198"/>
    </row>
    <row r="756" ht="19.5" customHeight="1">
      <c r="B756" s="194"/>
      <c r="C756" s="190"/>
      <c r="D756" s="195"/>
      <c r="E756" s="196"/>
      <c r="F756" s="197"/>
      <c r="H756" s="198"/>
      <c r="I756" s="198"/>
    </row>
    <row r="757" ht="19.5" customHeight="1">
      <c r="B757" s="194"/>
      <c r="C757" s="190"/>
      <c r="D757" s="195"/>
      <c r="E757" s="196"/>
      <c r="F757" s="197"/>
      <c r="H757" s="198"/>
      <c r="I757" s="198"/>
    </row>
    <row r="758" ht="19.5" customHeight="1">
      <c r="B758" s="194"/>
      <c r="C758" s="190"/>
      <c r="D758" s="195"/>
      <c r="E758" s="196"/>
      <c r="F758" s="197"/>
      <c r="H758" s="198"/>
      <c r="I758" s="198"/>
    </row>
    <row r="759" ht="19.5" customHeight="1">
      <c r="B759" s="194"/>
      <c r="C759" s="190"/>
      <c r="D759" s="195"/>
      <c r="E759" s="196"/>
      <c r="F759" s="197"/>
      <c r="H759" s="198"/>
      <c r="I759" s="198"/>
    </row>
    <row r="760" ht="19.5" customHeight="1">
      <c r="B760" s="194"/>
      <c r="C760" s="190"/>
      <c r="D760" s="195"/>
      <c r="E760" s="196"/>
      <c r="F760" s="197"/>
      <c r="H760" s="198"/>
      <c r="I760" s="198"/>
    </row>
    <row r="761" ht="19.5" customHeight="1">
      <c r="B761" s="194"/>
      <c r="C761" s="190"/>
      <c r="D761" s="195"/>
      <c r="E761" s="196"/>
      <c r="F761" s="197"/>
      <c r="H761" s="198"/>
      <c r="I761" s="198"/>
    </row>
    <row r="762" ht="19.5" customHeight="1">
      <c r="B762" s="194"/>
      <c r="C762" s="190"/>
      <c r="D762" s="195"/>
      <c r="E762" s="196"/>
      <c r="F762" s="197"/>
      <c r="H762" s="198"/>
      <c r="I762" s="198"/>
    </row>
    <row r="763" ht="19.5" customHeight="1">
      <c r="B763" s="194"/>
      <c r="C763" s="190"/>
      <c r="D763" s="195"/>
      <c r="E763" s="196"/>
      <c r="F763" s="197"/>
      <c r="H763" s="198"/>
      <c r="I763" s="198"/>
    </row>
    <row r="764" ht="19.5" customHeight="1">
      <c r="B764" s="194"/>
      <c r="C764" s="190"/>
      <c r="D764" s="195"/>
      <c r="E764" s="196"/>
      <c r="F764" s="197"/>
      <c r="H764" s="198"/>
      <c r="I764" s="198"/>
    </row>
    <row r="765" ht="19.5" customHeight="1">
      <c r="B765" s="194"/>
      <c r="C765" s="190"/>
      <c r="D765" s="195"/>
      <c r="E765" s="196"/>
      <c r="F765" s="197"/>
      <c r="H765" s="198"/>
      <c r="I765" s="198"/>
    </row>
    <row r="766" ht="19.5" customHeight="1">
      <c r="B766" s="194"/>
      <c r="C766" s="190"/>
      <c r="D766" s="195"/>
      <c r="E766" s="196"/>
      <c r="F766" s="197"/>
      <c r="H766" s="198"/>
      <c r="I766" s="198"/>
    </row>
    <row r="767" ht="19.5" customHeight="1">
      <c r="B767" s="194"/>
      <c r="C767" s="190"/>
      <c r="D767" s="195"/>
      <c r="E767" s="196"/>
      <c r="F767" s="197"/>
      <c r="H767" s="198"/>
      <c r="I767" s="198"/>
    </row>
    <row r="768" ht="19.5" customHeight="1">
      <c r="B768" s="194"/>
      <c r="C768" s="190"/>
      <c r="D768" s="195"/>
      <c r="E768" s="196"/>
      <c r="F768" s="197"/>
      <c r="H768" s="198"/>
      <c r="I768" s="198"/>
    </row>
    <row r="769" ht="19.5" customHeight="1">
      <c r="B769" s="194"/>
      <c r="C769" s="190"/>
      <c r="D769" s="195"/>
      <c r="E769" s="196"/>
      <c r="F769" s="197"/>
      <c r="H769" s="198"/>
      <c r="I769" s="198"/>
    </row>
    <row r="770" ht="19.5" customHeight="1">
      <c r="B770" s="194"/>
      <c r="C770" s="190"/>
      <c r="D770" s="195"/>
      <c r="E770" s="196"/>
      <c r="F770" s="197"/>
      <c r="H770" s="198"/>
      <c r="I770" s="198"/>
    </row>
    <row r="771" ht="19.5" customHeight="1">
      <c r="B771" s="194"/>
      <c r="C771" s="190"/>
      <c r="D771" s="195"/>
      <c r="E771" s="196"/>
      <c r="F771" s="197"/>
      <c r="H771" s="198"/>
      <c r="I771" s="198"/>
    </row>
    <row r="772" ht="19.5" customHeight="1">
      <c r="B772" s="194"/>
      <c r="C772" s="190"/>
      <c r="D772" s="195"/>
      <c r="E772" s="196"/>
      <c r="F772" s="197"/>
      <c r="H772" s="198"/>
      <c r="I772" s="198"/>
    </row>
    <row r="773" ht="19.5" customHeight="1">
      <c r="B773" s="194"/>
      <c r="C773" s="190"/>
      <c r="D773" s="195"/>
      <c r="E773" s="196"/>
      <c r="F773" s="197"/>
      <c r="H773" s="198"/>
      <c r="I773" s="198"/>
    </row>
    <row r="774" ht="19.5" customHeight="1">
      <c r="B774" s="194"/>
      <c r="C774" s="190"/>
      <c r="D774" s="195"/>
      <c r="E774" s="196"/>
      <c r="F774" s="197"/>
      <c r="H774" s="198"/>
      <c r="I774" s="198"/>
    </row>
    <row r="775" ht="19.5" customHeight="1">
      <c r="B775" s="194"/>
      <c r="C775" s="190"/>
      <c r="D775" s="195"/>
      <c r="E775" s="196"/>
      <c r="F775" s="197"/>
      <c r="H775" s="198"/>
      <c r="I775" s="198"/>
    </row>
    <row r="776" ht="19.5" customHeight="1">
      <c r="B776" s="194"/>
      <c r="C776" s="190"/>
      <c r="D776" s="195"/>
      <c r="E776" s="196"/>
      <c r="F776" s="197"/>
      <c r="H776" s="198"/>
      <c r="I776" s="198"/>
    </row>
    <row r="777" ht="19.5" customHeight="1">
      <c r="B777" s="194"/>
      <c r="C777" s="190"/>
      <c r="D777" s="195"/>
      <c r="E777" s="196"/>
      <c r="F777" s="197"/>
      <c r="H777" s="198"/>
      <c r="I777" s="198"/>
    </row>
    <row r="778" ht="19.5" customHeight="1">
      <c r="B778" s="194"/>
      <c r="C778" s="190"/>
      <c r="D778" s="195"/>
      <c r="E778" s="196"/>
      <c r="F778" s="197"/>
      <c r="H778" s="198"/>
      <c r="I778" s="198"/>
    </row>
    <row r="779" ht="19.5" customHeight="1">
      <c r="B779" s="194"/>
      <c r="C779" s="190"/>
      <c r="D779" s="195"/>
      <c r="E779" s="196"/>
      <c r="F779" s="197"/>
      <c r="H779" s="198"/>
      <c r="I779" s="198"/>
    </row>
    <row r="780" ht="19.5" customHeight="1">
      <c r="B780" s="194"/>
      <c r="C780" s="190"/>
      <c r="D780" s="195"/>
      <c r="E780" s="196"/>
      <c r="F780" s="197"/>
      <c r="H780" s="198"/>
      <c r="I780" s="198"/>
    </row>
    <row r="781" ht="19.5" customHeight="1">
      <c r="B781" s="194"/>
      <c r="C781" s="190"/>
      <c r="D781" s="195"/>
      <c r="E781" s="196"/>
      <c r="F781" s="197"/>
      <c r="H781" s="198"/>
      <c r="I781" s="198"/>
    </row>
    <row r="782" ht="19.5" customHeight="1">
      <c r="B782" s="194"/>
      <c r="C782" s="190"/>
      <c r="D782" s="195"/>
      <c r="E782" s="196"/>
      <c r="F782" s="197"/>
      <c r="H782" s="198"/>
      <c r="I782" s="198"/>
    </row>
    <row r="783" ht="19.5" customHeight="1">
      <c r="B783" s="194"/>
      <c r="C783" s="190"/>
      <c r="D783" s="195"/>
      <c r="E783" s="196"/>
      <c r="F783" s="197"/>
      <c r="H783" s="198"/>
      <c r="I783" s="198"/>
    </row>
    <row r="784" ht="19.5" customHeight="1">
      <c r="B784" s="194"/>
      <c r="C784" s="190"/>
      <c r="D784" s="195"/>
      <c r="E784" s="196"/>
      <c r="F784" s="197"/>
      <c r="H784" s="198"/>
      <c r="I784" s="198"/>
    </row>
    <row r="785" ht="19.5" customHeight="1">
      <c r="B785" s="194"/>
      <c r="C785" s="190"/>
      <c r="D785" s="195"/>
      <c r="E785" s="196"/>
      <c r="F785" s="197"/>
      <c r="H785" s="198"/>
      <c r="I785" s="198"/>
    </row>
    <row r="786" ht="19.5" customHeight="1">
      <c r="B786" s="194"/>
      <c r="C786" s="190"/>
      <c r="D786" s="195"/>
      <c r="E786" s="196"/>
      <c r="F786" s="197"/>
      <c r="H786" s="198"/>
      <c r="I786" s="198"/>
    </row>
    <row r="787" ht="19.5" customHeight="1">
      <c r="B787" s="194"/>
      <c r="C787" s="190"/>
      <c r="D787" s="195"/>
      <c r="E787" s="196"/>
      <c r="F787" s="197"/>
      <c r="H787" s="198"/>
      <c r="I787" s="198"/>
    </row>
    <row r="788" ht="19.5" customHeight="1">
      <c r="B788" s="194"/>
      <c r="C788" s="190"/>
      <c r="D788" s="195"/>
      <c r="E788" s="196"/>
      <c r="F788" s="197"/>
      <c r="H788" s="198"/>
      <c r="I788" s="198"/>
    </row>
    <row r="789" ht="19.5" customHeight="1">
      <c r="B789" s="194"/>
      <c r="C789" s="190"/>
      <c r="D789" s="195"/>
      <c r="E789" s="196"/>
      <c r="F789" s="197"/>
      <c r="H789" s="198"/>
      <c r="I789" s="198"/>
    </row>
    <row r="790" ht="19.5" customHeight="1">
      <c r="B790" s="194"/>
      <c r="C790" s="190"/>
      <c r="D790" s="195"/>
      <c r="E790" s="196"/>
      <c r="F790" s="197"/>
      <c r="H790" s="198"/>
      <c r="I790" s="198"/>
    </row>
    <row r="791" ht="19.5" customHeight="1">
      <c r="B791" s="194"/>
      <c r="C791" s="190"/>
      <c r="D791" s="195"/>
      <c r="E791" s="196"/>
      <c r="F791" s="197"/>
      <c r="H791" s="198"/>
      <c r="I791" s="198"/>
    </row>
    <row r="792" ht="19.5" customHeight="1">
      <c r="B792" s="194"/>
      <c r="C792" s="190"/>
      <c r="D792" s="195"/>
      <c r="E792" s="196"/>
      <c r="F792" s="197"/>
      <c r="H792" s="198"/>
      <c r="I792" s="198"/>
    </row>
    <row r="793" ht="19.5" customHeight="1">
      <c r="B793" s="194"/>
      <c r="C793" s="190"/>
      <c r="D793" s="195"/>
      <c r="E793" s="196"/>
      <c r="F793" s="197"/>
      <c r="H793" s="198"/>
      <c r="I793" s="198"/>
    </row>
    <row r="794" ht="19.5" customHeight="1">
      <c r="B794" s="194"/>
      <c r="C794" s="190"/>
      <c r="D794" s="195"/>
      <c r="E794" s="196"/>
      <c r="F794" s="197"/>
      <c r="H794" s="198"/>
      <c r="I794" s="198"/>
    </row>
    <row r="795" ht="19.5" customHeight="1">
      <c r="B795" s="194"/>
      <c r="C795" s="190"/>
      <c r="D795" s="195"/>
      <c r="E795" s="196"/>
      <c r="F795" s="197"/>
      <c r="H795" s="198"/>
      <c r="I795" s="198"/>
    </row>
    <row r="796" ht="19.5" customHeight="1">
      <c r="B796" s="194"/>
      <c r="C796" s="190"/>
      <c r="D796" s="195"/>
      <c r="E796" s="196"/>
      <c r="F796" s="197"/>
      <c r="H796" s="198"/>
      <c r="I796" s="198"/>
    </row>
    <row r="797" ht="19.5" customHeight="1">
      <c r="B797" s="194"/>
      <c r="C797" s="190"/>
      <c r="D797" s="195"/>
      <c r="E797" s="196"/>
      <c r="F797" s="197"/>
      <c r="H797" s="198"/>
      <c r="I797" s="198"/>
    </row>
    <row r="798" ht="19.5" customHeight="1">
      <c r="B798" s="194"/>
      <c r="C798" s="190"/>
      <c r="D798" s="195"/>
      <c r="E798" s="196"/>
      <c r="F798" s="197"/>
      <c r="H798" s="198"/>
      <c r="I798" s="198"/>
    </row>
    <row r="799" ht="19.5" customHeight="1">
      <c r="B799" s="194"/>
      <c r="C799" s="190"/>
      <c r="D799" s="195"/>
      <c r="E799" s="196"/>
      <c r="F799" s="197"/>
      <c r="H799" s="198"/>
      <c r="I799" s="198"/>
    </row>
    <row r="800" ht="19.5" customHeight="1">
      <c r="B800" s="194"/>
      <c r="C800" s="190"/>
      <c r="D800" s="195"/>
      <c r="E800" s="196"/>
      <c r="F800" s="197"/>
      <c r="H800" s="198"/>
      <c r="I800" s="198"/>
    </row>
    <row r="801" ht="19.5" customHeight="1">
      <c r="B801" s="194"/>
      <c r="C801" s="190"/>
      <c r="D801" s="195"/>
      <c r="E801" s="196"/>
      <c r="F801" s="197"/>
      <c r="H801" s="198"/>
      <c r="I801" s="198"/>
    </row>
    <row r="802" ht="19.5" customHeight="1">
      <c r="B802" s="194"/>
      <c r="C802" s="190"/>
      <c r="D802" s="195"/>
      <c r="E802" s="196"/>
      <c r="F802" s="197"/>
      <c r="H802" s="198"/>
      <c r="I802" s="198"/>
    </row>
    <row r="803" ht="19.5" customHeight="1">
      <c r="B803" s="194"/>
      <c r="C803" s="190"/>
      <c r="D803" s="195"/>
      <c r="E803" s="196"/>
      <c r="F803" s="197"/>
      <c r="H803" s="198"/>
      <c r="I803" s="198"/>
    </row>
    <row r="804" ht="19.5" customHeight="1">
      <c r="B804" s="194"/>
      <c r="C804" s="190"/>
      <c r="D804" s="195"/>
      <c r="E804" s="196"/>
      <c r="F804" s="197"/>
      <c r="H804" s="198"/>
      <c r="I804" s="198"/>
    </row>
    <row r="805" ht="19.5" customHeight="1">
      <c r="B805" s="194"/>
      <c r="C805" s="190"/>
      <c r="D805" s="195"/>
      <c r="E805" s="196"/>
      <c r="F805" s="197"/>
      <c r="H805" s="198"/>
      <c r="I805" s="198"/>
    </row>
    <row r="806" ht="19.5" customHeight="1">
      <c r="B806" s="194"/>
      <c r="C806" s="190"/>
      <c r="D806" s="195"/>
      <c r="E806" s="196"/>
      <c r="F806" s="197"/>
      <c r="H806" s="198"/>
      <c r="I806" s="198"/>
    </row>
    <row r="807" ht="19.5" customHeight="1">
      <c r="B807" s="194"/>
      <c r="C807" s="190"/>
      <c r="D807" s="195"/>
      <c r="E807" s="196"/>
      <c r="F807" s="197"/>
      <c r="H807" s="198"/>
      <c r="I807" s="198"/>
    </row>
    <row r="808" ht="19.5" customHeight="1">
      <c r="B808" s="194"/>
      <c r="C808" s="190"/>
      <c r="D808" s="195"/>
      <c r="E808" s="196"/>
      <c r="F808" s="197"/>
      <c r="H808" s="198"/>
      <c r="I808" s="198"/>
    </row>
    <row r="809" ht="19.5" customHeight="1">
      <c r="B809" s="194"/>
      <c r="C809" s="190"/>
      <c r="D809" s="195"/>
      <c r="E809" s="196"/>
      <c r="F809" s="197"/>
      <c r="H809" s="198"/>
      <c r="I809" s="198"/>
    </row>
    <row r="810" ht="19.5" customHeight="1">
      <c r="B810" s="194"/>
      <c r="C810" s="190"/>
      <c r="D810" s="195"/>
      <c r="E810" s="196"/>
      <c r="F810" s="197"/>
      <c r="H810" s="198"/>
      <c r="I810" s="198"/>
    </row>
    <row r="811" ht="19.5" customHeight="1">
      <c r="B811" s="194"/>
      <c r="C811" s="190"/>
      <c r="D811" s="195"/>
      <c r="E811" s="196"/>
      <c r="F811" s="197"/>
      <c r="H811" s="198"/>
      <c r="I811" s="198"/>
    </row>
    <row r="812" ht="19.5" customHeight="1">
      <c r="B812" s="194"/>
      <c r="C812" s="190"/>
      <c r="D812" s="195"/>
      <c r="E812" s="196"/>
      <c r="F812" s="197"/>
      <c r="H812" s="198"/>
      <c r="I812" s="198"/>
    </row>
    <row r="813" ht="19.5" customHeight="1">
      <c r="B813" s="194"/>
      <c r="C813" s="190"/>
      <c r="D813" s="195"/>
      <c r="E813" s="196"/>
      <c r="F813" s="197"/>
      <c r="H813" s="198"/>
      <c r="I813" s="198"/>
    </row>
    <row r="814" ht="19.5" customHeight="1">
      <c r="B814" s="194"/>
      <c r="C814" s="190"/>
      <c r="D814" s="195"/>
      <c r="E814" s="196"/>
      <c r="F814" s="197"/>
      <c r="H814" s="198"/>
      <c r="I814" s="198"/>
    </row>
    <row r="815" ht="19.5" customHeight="1">
      <c r="B815" s="194"/>
      <c r="C815" s="190"/>
      <c r="D815" s="195"/>
      <c r="E815" s="196"/>
      <c r="F815" s="197"/>
      <c r="H815" s="198"/>
      <c r="I815" s="198"/>
    </row>
    <row r="816" ht="19.5" customHeight="1">
      <c r="B816" s="194"/>
      <c r="C816" s="190"/>
      <c r="D816" s="195"/>
      <c r="E816" s="196"/>
      <c r="F816" s="197"/>
      <c r="H816" s="198"/>
      <c r="I816" s="198"/>
    </row>
    <row r="817" ht="19.5" customHeight="1">
      <c r="B817" s="194"/>
      <c r="C817" s="190"/>
      <c r="D817" s="195"/>
      <c r="E817" s="196"/>
      <c r="F817" s="197"/>
      <c r="H817" s="198"/>
      <c r="I817" s="198"/>
    </row>
    <row r="818" ht="19.5" customHeight="1">
      <c r="B818" s="194"/>
      <c r="C818" s="190"/>
      <c r="D818" s="195"/>
      <c r="E818" s="196"/>
      <c r="F818" s="197"/>
      <c r="H818" s="198"/>
      <c r="I818" s="198"/>
    </row>
    <row r="819" ht="19.5" customHeight="1">
      <c r="B819" s="194"/>
      <c r="C819" s="190"/>
      <c r="D819" s="195"/>
      <c r="E819" s="196"/>
      <c r="F819" s="197"/>
      <c r="H819" s="198"/>
      <c r="I819" s="198"/>
    </row>
    <row r="820" ht="19.5" customHeight="1">
      <c r="B820" s="194"/>
      <c r="C820" s="190"/>
      <c r="D820" s="195"/>
      <c r="E820" s="196"/>
      <c r="F820" s="197"/>
      <c r="H820" s="198"/>
      <c r="I820" s="198"/>
    </row>
    <row r="821" ht="19.5" customHeight="1">
      <c r="B821" s="194"/>
      <c r="C821" s="190"/>
      <c r="D821" s="195"/>
      <c r="E821" s="196"/>
      <c r="F821" s="197"/>
      <c r="H821" s="198"/>
      <c r="I821" s="198"/>
    </row>
    <row r="822" ht="19.5" customHeight="1">
      <c r="B822" s="194"/>
      <c r="C822" s="190"/>
      <c r="D822" s="195"/>
      <c r="E822" s="196"/>
      <c r="F822" s="197"/>
      <c r="H822" s="198"/>
      <c r="I822" s="198"/>
    </row>
    <row r="823" ht="19.5" customHeight="1">
      <c r="B823" s="194"/>
      <c r="C823" s="190"/>
      <c r="D823" s="195"/>
      <c r="E823" s="196"/>
      <c r="F823" s="197"/>
      <c r="H823" s="198"/>
      <c r="I823" s="198"/>
    </row>
    <row r="824" ht="19.5" customHeight="1">
      <c r="B824" s="194"/>
      <c r="C824" s="190"/>
      <c r="D824" s="195"/>
      <c r="E824" s="196"/>
      <c r="F824" s="197"/>
      <c r="H824" s="198"/>
      <c r="I824" s="198"/>
    </row>
    <row r="825" ht="19.5" customHeight="1">
      <c r="B825" s="194"/>
      <c r="C825" s="190"/>
      <c r="D825" s="195"/>
      <c r="E825" s="196"/>
      <c r="F825" s="197"/>
      <c r="H825" s="198"/>
      <c r="I825" s="198"/>
    </row>
    <row r="826" ht="19.5" customHeight="1">
      <c r="B826" s="194"/>
      <c r="C826" s="190"/>
      <c r="D826" s="195"/>
      <c r="E826" s="196"/>
      <c r="F826" s="197"/>
      <c r="H826" s="198"/>
      <c r="I826" s="198"/>
    </row>
    <row r="827" ht="19.5" customHeight="1">
      <c r="B827" s="194"/>
      <c r="C827" s="190"/>
      <c r="D827" s="195"/>
      <c r="E827" s="196"/>
      <c r="F827" s="197"/>
      <c r="H827" s="198"/>
      <c r="I827" s="198"/>
    </row>
    <row r="828" ht="19.5" customHeight="1">
      <c r="B828" s="194"/>
      <c r="C828" s="190"/>
      <c r="D828" s="195"/>
      <c r="E828" s="196"/>
      <c r="F828" s="197"/>
      <c r="H828" s="198"/>
      <c r="I828" s="198"/>
    </row>
    <row r="829" ht="19.5" customHeight="1">
      <c r="B829" s="194"/>
      <c r="C829" s="190"/>
      <c r="D829" s="195"/>
      <c r="E829" s="196"/>
      <c r="F829" s="197"/>
      <c r="H829" s="198"/>
      <c r="I829" s="198"/>
    </row>
    <row r="830" ht="19.5" customHeight="1">
      <c r="B830" s="194"/>
      <c r="C830" s="190"/>
      <c r="D830" s="195"/>
      <c r="E830" s="196"/>
      <c r="F830" s="197"/>
      <c r="H830" s="198"/>
      <c r="I830" s="198"/>
    </row>
    <row r="831" ht="19.5" customHeight="1">
      <c r="B831" s="194"/>
      <c r="C831" s="190"/>
      <c r="D831" s="195"/>
      <c r="E831" s="196"/>
      <c r="F831" s="197"/>
      <c r="H831" s="198"/>
      <c r="I831" s="198"/>
    </row>
    <row r="832" ht="19.5" customHeight="1">
      <c r="B832" s="194"/>
      <c r="C832" s="190"/>
      <c r="D832" s="195"/>
      <c r="E832" s="196"/>
      <c r="F832" s="197"/>
      <c r="H832" s="198"/>
      <c r="I832" s="198"/>
    </row>
    <row r="833" ht="19.5" customHeight="1">
      <c r="B833" s="194"/>
      <c r="C833" s="190"/>
      <c r="D833" s="195"/>
      <c r="E833" s="196"/>
      <c r="F833" s="197"/>
      <c r="H833" s="198"/>
      <c r="I833" s="198"/>
    </row>
    <row r="834" ht="19.5" customHeight="1">
      <c r="B834" s="194"/>
      <c r="C834" s="190"/>
      <c r="D834" s="195"/>
      <c r="E834" s="196"/>
      <c r="F834" s="197"/>
      <c r="H834" s="198"/>
      <c r="I834" s="198"/>
    </row>
    <row r="835" ht="19.5" customHeight="1">
      <c r="B835" s="194"/>
      <c r="C835" s="190"/>
      <c r="D835" s="195"/>
      <c r="E835" s="196"/>
      <c r="F835" s="197"/>
      <c r="H835" s="198"/>
      <c r="I835" s="198"/>
    </row>
    <row r="836" ht="19.5" customHeight="1">
      <c r="B836" s="194"/>
      <c r="C836" s="190"/>
      <c r="D836" s="195"/>
      <c r="E836" s="196"/>
      <c r="F836" s="197"/>
      <c r="H836" s="198"/>
      <c r="I836" s="198"/>
    </row>
    <row r="837" ht="19.5" customHeight="1">
      <c r="B837" s="194"/>
      <c r="C837" s="190"/>
      <c r="D837" s="195"/>
      <c r="E837" s="196"/>
      <c r="F837" s="197"/>
      <c r="H837" s="198"/>
      <c r="I837" s="198"/>
    </row>
    <row r="838" ht="19.5" customHeight="1">
      <c r="B838" s="194"/>
      <c r="C838" s="190"/>
      <c r="D838" s="195"/>
      <c r="E838" s="196"/>
      <c r="F838" s="197"/>
      <c r="H838" s="198"/>
      <c r="I838" s="198"/>
    </row>
    <row r="839" ht="19.5" customHeight="1">
      <c r="B839" s="194"/>
      <c r="C839" s="190"/>
      <c r="D839" s="195"/>
      <c r="E839" s="196"/>
      <c r="F839" s="197"/>
      <c r="H839" s="198"/>
      <c r="I839" s="198"/>
    </row>
    <row r="840" ht="19.5" customHeight="1">
      <c r="B840" s="194"/>
      <c r="C840" s="190"/>
      <c r="D840" s="195"/>
      <c r="E840" s="196"/>
      <c r="F840" s="197"/>
      <c r="H840" s="198"/>
      <c r="I840" s="198"/>
    </row>
    <row r="841" ht="19.5" customHeight="1">
      <c r="B841" s="194"/>
      <c r="C841" s="190"/>
      <c r="D841" s="195"/>
      <c r="E841" s="196"/>
      <c r="F841" s="197"/>
      <c r="H841" s="198"/>
      <c r="I841" s="198"/>
    </row>
    <row r="842" ht="19.5" customHeight="1">
      <c r="B842" s="194"/>
      <c r="C842" s="190"/>
      <c r="D842" s="195"/>
      <c r="E842" s="196"/>
      <c r="F842" s="197"/>
      <c r="H842" s="198"/>
      <c r="I842" s="198"/>
    </row>
    <row r="843" ht="19.5" customHeight="1">
      <c r="B843" s="194"/>
      <c r="C843" s="190"/>
      <c r="D843" s="195"/>
      <c r="E843" s="196"/>
      <c r="F843" s="197"/>
      <c r="H843" s="198"/>
      <c r="I843" s="198"/>
    </row>
    <row r="844" ht="19.5" customHeight="1">
      <c r="B844" s="194"/>
      <c r="C844" s="190"/>
      <c r="D844" s="195"/>
      <c r="E844" s="196"/>
      <c r="F844" s="197"/>
      <c r="H844" s="198"/>
      <c r="I844" s="198"/>
    </row>
    <row r="845" ht="19.5" customHeight="1">
      <c r="B845" s="194"/>
      <c r="C845" s="190"/>
      <c r="D845" s="195"/>
      <c r="E845" s="196"/>
      <c r="F845" s="197"/>
      <c r="H845" s="198"/>
      <c r="I845" s="198"/>
    </row>
    <row r="846" ht="19.5" customHeight="1">
      <c r="B846" s="194"/>
      <c r="C846" s="190"/>
      <c r="D846" s="195"/>
      <c r="E846" s="196"/>
      <c r="F846" s="197"/>
      <c r="H846" s="198"/>
      <c r="I846" s="198"/>
    </row>
    <row r="847" ht="19.5" customHeight="1">
      <c r="B847" s="194"/>
      <c r="C847" s="190"/>
      <c r="D847" s="195"/>
      <c r="E847" s="196"/>
      <c r="F847" s="197"/>
      <c r="H847" s="198"/>
      <c r="I847" s="198"/>
    </row>
    <row r="848" ht="19.5" customHeight="1">
      <c r="B848" s="194"/>
      <c r="C848" s="190"/>
      <c r="D848" s="195"/>
      <c r="E848" s="196"/>
      <c r="F848" s="197"/>
      <c r="H848" s="198"/>
      <c r="I848" s="198"/>
    </row>
    <row r="849" ht="19.5" customHeight="1">
      <c r="B849" s="194"/>
      <c r="C849" s="190"/>
      <c r="D849" s="195"/>
      <c r="E849" s="196"/>
      <c r="F849" s="197"/>
      <c r="H849" s="198"/>
      <c r="I849" s="198"/>
    </row>
    <row r="850" ht="19.5" customHeight="1">
      <c r="B850" s="194"/>
      <c r="C850" s="190"/>
      <c r="D850" s="195"/>
      <c r="E850" s="196"/>
      <c r="F850" s="197"/>
      <c r="H850" s="198"/>
      <c r="I850" s="198"/>
    </row>
    <row r="851" ht="19.5" customHeight="1">
      <c r="B851" s="194"/>
      <c r="C851" s="190"/>
      <c r="D851" s="195"/>
      <c r="E851" s="196"/>
      <c r="F851" s="197"/>
      <c r="H851" s="198"/>
      <c r="I851" s="198"/>
    </row>
    <row r="852" ht="19.5" customHeight="1">
      <c r="B852" s="194"/>
      <c r="C852" s="190"/>
      <c r="D852" s="195"/>
      <c r="E852" s="196"/>
      <c r="F852" s="197"/>
      <c r="H852" s="198"/>
      <c r="I852" s="198"/>
    </row>
    <row r="853" ht="19.5" customHeight="1">
      <c r="B853" s="194"/>
      <c r="C853" s="190"/>
      <c r="D853" s="195"/>
      <c r="E853" s="196"/>
      <c r="F853" s="197"/>
      <c r="H853" s="198"/>
      <c r="I853" s="198"/>
    </row>
    <row r="854" ht="19.5" customHeight="1">
      <c r="B854" s="194"/>
      <c r="C854" s="190"/>
      <c r="D854" s="195"/>
      <c r="E854" s="196"/>
      <c r="F854" s="197"/>
      <c r="H854" s="198"/>
      <c r="I854" s="198"/>
    </row>
    <row r="855" ht="19.5" customHeight="1">
      <c r="B855" s="194"/>
      <c r="C855" s="190"/>
      <c r="D855" s="195"/>
      <c r="E855" s="196"/>
      <c r="F855" s="197"/>
      <c r="H855" s="198"/>
      <c r="I855" s="198"/>
    </row>
    <row r="856" ht="19.5" customHeight="1">
      <c r="B856" s="194"/>
      <c r="C856" s="190"/>
      <c r="D856" s="195"/>
      <c r="E856" s="196"/>
      <c r="F856" s="197"/>
      <c r="H856" s="198"/>
      <c r="I856" s="198"/>
    </row>
    <row r="857" ht="19.5" customHeight="1">
      <c r="B857" s="194"/>
      <c r="C857" s="190"/>
      <c r="D857" s="195"/>
      <c r="E857" s="196"/>
      <c r="F857" s="197"/>
      <c r="H857" s="198"/>
      <c r="I857" s="198"/>
    </row>
    <row r="858" ht="19.5" customHeight="1">
      <c r="B858" s="194"/>
      <c r="C858" s="190"/>
      <c r="D858" s="195"/>
      <c r="E858" s="196"/>
      <c r="F858" s="197"/>
      <c r="H858" s="198"/>
      <c r="I858" s="198"/>
    </row>
    <row r="859" ht="19.5" customHeight="1">
      <c r="B859" s="194"/>
      <c r="C859" s="190"/>
      <c r="D859" s="195"/>
      <c r="E859" s="196"/>
      <c r="F859" s="197"/>
      <c r="H859" s="198"/>
      <c r="I859" s="198"/>
    </row>
    <row r="860" ht="19.5" customHeight="1">
      <c r="B860" s="194"/>
      <c r="C860" s="190"/>
      <c r="D860" s="195"/>
      <c r="E860" s="196"/>
      <c r="F860" s="197"/>
      <c r="H860" s="198"/>
      <c r="I860" s="198"/>
    </row>
    <row r="861" ht="19.5" customHeight="1">
      <c r="B861" s="194"/>
      <c r="C861" s="190"/>
      <c r="D861" s="195"/>
      <c r="E861" s="196"/>
      <c r="F861" s="197"/>
      <c r="H861" s="198"/>
      <c r="I861" s="198"/>
    </row>
    <row r="862" ht="19.5" customHeight="1">
      <c r="B862" s="194"/>
      <c r="C862" s="190"/>
      <c r="D862" s="195"/>
      <c r="E862" s="196"/>
      <c r="F862" s="197"/>
      <c r="H862" s="198"/>
      <c r="I862" s="198"/>
    </row>
    <row r="863" ht="19.5" customHeight="1">
      <c r="B863" s="194"/>
      <c r="C863" s="190"/>
      <c r="D863" s="195"/>
      <c r="E863" s="196"/>
      <c r="F863" s="197"/>
      <c r="H863" s="198"/>
      <c r="I863" s="198"/>
    </row>
    <row r="864" ht="19.5" customHeight="1">
      <c r="B864" s="194"/>
      <c r="C864" s="190"/>
      <c r="D864" s="195"/>
      <c r="E864" s="196"/>
      <c r="F864" s="197"/>
      <c r="H864" s="198"/>
      <c r="I864" s="198"/>
    </row>
    <row r="865" ht="19.5" customHeight="1">
      <c r="B865" s="194"/>
      <c r="C865" s="190"/>
      <c r="D865" s="195"/>
      <c r="E865" s="196"/>
      <c r="F865" s="197"/>
      <c r="H865" s="198"/>
      <c r="I865" s="198"/>
    </row>
    <row r="866" ht="19.5" customHeight="1">
      <c r="B866" s="194"/>
      <c r="C866" s="190"/>
      <c r="D866" s="195"/>
      <c r="E866" s="196"/>
      <c r="F866" s="197"/>
      <c r="H866" s="198"/>
      <c r="I866" s="198"/>
    </row>
    <row r="867" ht="19.5" customHeight="1">
      <c r="B867" s="194"/>
      <c r="C867" s="190"/>
      <c r="D867" s="195"/>
      <c r="E867" s="196"/>
      <c r="F867" s="197"/>
      <c r="H867" s="198"/>
      <c r="I867" s="198"/>
    </row>
    <row r="868" ht="19.5" customHeight="1">
      <c r="B868" s="194"/>
      <c r="C868" s="190"/>
      <c r="D868" s="195"/>
      <c r="E868" s="196"/>
      <c r="F868" s="197"/>
      <c r="H868" s="198"/>
      <c r="I868" s="198"/>
    </row>
    <row r="869" ht="19.5" customHeight="1">
      <c r="B869" s="194"/>
      <c r="C869" s="190"/>
      <c r="D869" s="195"/>
      <c r="E869" s="196"/>
      <c r="F869" s="197"/>
      <c r="H869" s="198"/>
      <c r="I869" s="198"/>
    </row>
    <row r="870" ht="19.5" customHeight="1">
      <c r="B870" s="194"/>
      <c r="C870" s="190"/>
      <c r="D870" s="195"/>
      <c r="E870" s="196"/>
      <c r="F870" s="197"/>
      <c r="H870" s="198"/>
      <c r="I870" s="198"/>
    </row>
    <row r="871" ht="19.5" customHeight="1">
      <c r="B871" s="194"/>
      <c r="C871" s="190"/>
      <c r="D871" s="195"/>
      <c r="E871" s="196"/>
      <c r="F871" s="197"/>
      <c r="H871" s="198"/>
      <c r="I871" s="198"/>
    </row>
    <row r="872" ht="19.5" customHeight="1">
      <c r="B872" s="194"/>
      <c r="C872" s="190"/>
      <c r="D872" s="195"/>
      <c r="E872" s="196"/>
      <c r="F872" s="197"/>
      <c r="H872" s="198"/>
      <c r="I872" s="198"/>
    </row>
    <row r="873" ht="19.5" customHeight="1">
      <c r="B873" s="194"/>
      <c r="C873" s="190"/>
      <c r="D873" s="195"/>
      <c r="E873" s="196"/>
      <c r="F873" s="197"/>
      <c r="H873" s="198"/>
      <c r="I873" s="198"/>
    </row>
    <row r="874" ht="19.5" customHeight="1">
      <c r="B874" s="194"/>
      <c r="C874" s="190"/>
      <c r="D874" s="195"/>
      <c r="E874" s="196"/>
      <c r="F874" s="197"/>
      <c r="H874" s="198"/>
      <c r="I874" s="198"/>
    </row>
    <row r="875" ht="19.5" customHeight="1">
      <c r="B875" s="194"/>
      <c r="C875" s="190"/>
      <c r="D875" s="195"/>
      <c r="E875" s="196"/>
      <c r="F875" s="197"/>
      <c r="H875" s="198"/>
      <c r="I875" s="198"/>
    </row>
    <row r="876" ht="19.5" customHeight="1">
      <c r="B876" s="194"/>
      <c r="C876" s="190"/>
      <c r="D876" s="195"/>
      <c r="E876" s="196"/>
      <c r="F876" s="197"/>
      <c r="H876" s="198"/>
      <c r="I876" s="198"/>
    </row>
    <row r="877" ht="19.5" customHeight="1">
      <c r="B877" s="194"/>
      <c r="C877" s="190"/>
      <c r="D877" s="195"/>
      <c r="E877" s="196"/>
      <c r="F877" s="197"/>
      <c r="H877" s="198"/>
      <c r="I877" s="198"/>
    </row>
    <row r="878" ht="19.5" customHeight="1">
      <c r="B878" s="194"/>
      <c r="C878" s="190"/>
      <c r="D878" s="195"/>
      <c r="E878" s="196"/>
      <c r="F878" s="197"/>
      <c r="H878" s="198"/>
      <c r="I878" s="198"/>
    </row>
    <row r="879" ht="19.5" customHeight="1">
      <c r="B879" s="194"/>
      <c r="C879" s="190"/>
      <c r="D879" s="195"/>
      <c r="E879" s="196"/>
      <c r="F879" s="197"/>
      <c r="H879" s="198"/>
      <c r="I879" s="198"/>
    </row>
    <row r="880" ht="19.5" customHeight="1">
      <c r="B880" s="194"/>
      <c r="C880" s="190"/>
      <c r="D880" s="195"/>
      <c r="E880" s="196"/>
      <c r="F880" s="197"/>
      <c r="H880" s="198"/>
      <c r="I880" s="198"/>
    </row>
    <row r="881" ht="19.5" customHeight="1">
      <c r="B881" s="194"/>
      <c r="C881" s="190"/>
      <c r="D881" s="195"/>
      <c r="E881" s="196"/>
      <c r="F881" s="197"/>
      <c r="H881" s="198"/>
      <c r="I881" s="198"/>
    </row>
    <row r="882" ht="19.5" customHeight="1">
      <c r="B882" s="194"/>
      <c r="C882" s="190"/>
      <c r="D882" s="195"/>
      <c r="E882" s="196"/>
      <c r="F882" s="197"/>
      <c r="H882" s="198"/>
      <c r="I882" s="198"/>
    </row>
    <row r="883" ht="19.5" customHeight="1">
      <c r="B883" s="194"/>
      <c r="C883" s="190"/>
      <c r="D883" s="195"/>
      <c r="E883" s="196"/>
      <c r="F883" s="197"/>
      <c r="H883" s="198"/>
      <c r="I883" s="198"/>
    </row>
    <row r="884" ht="19.5" customHeight="1">
      <c r="B884" s="194"/>
      <c r="C884" s="190"/>
      <c r="D884" s="195"/>
      <c r="E884" s="196"/>
      <c r="F884" s="197"/>
      <c r="H884" s="198"/>
      <c r="I884" s="198"/>
    </row>
    <row r="885" ht="19.5" customHeight="1">
      <c r="B885" s="194"/>
      <c r="C885" s="190"/>
      <c r="D885" s="195"/>
      <c r="E885" s="196"/>
      <c r="F885" s="197"/>
      <c r="H885" s="198"/>
      <c r="I885" s="198"/>
    </row>
    <row r="886" ht="19.5" customHeight="1">
      <c r="B886" s="194"/>
      <c r="C886" s="190"/>
      <c r="D886" s="195"/>
      <c r="E886" s="196"/>
      <c r="F886" s="197"/>
      <c r="H886" s="198"/>
      <c r="I886" s="198"/>
    </row>
    <row r="887" ht="19.5" customHeight="1">
      <c r="B887" s="194"/>
      <c r="C887" s="190"/>
      <c r="D887" s="195"/>
      <c r="E887" s="196"/>
      <c r="F887" s="197"/>
      <c r="H887" s="198"/>
      <c r="I887" s="198"/>
    </row>
    <row r="888" ht="19.5" customHeight="1">
      <c r="B888" s="194"/>
      <c r="C888" s="190"/>
      <c r="D888" s="195"/>
      <c r="E888" s="196"/>
      <c r="F888" s="197"/>
      <c r="H888" s="198"/>
      <c r="I888" s="198"/>
    </row>
    <row r="889" ht="19.5" customHeight="1">
      <c r="B889" s="194"/>
      <c r="C889" s="190"/>
      <c r="D889" s="195"/>
      <c r="E889" s="196"/>
      <c r="F889" s="197"/>
      <c r="H889" s="198"/>
      <c r="I889" s="198"/>
    </row>
    <row r="890" ht="19.5" customHeight="1">
      <c r="B890" s="194"/>
      <c r="C890" s="190"/>
      <c r="D890" s="195"/>
      <c r="E890" s="196"/>
      <c r="F890" s="197"/>
      <c r="H890" s="198"/>
      <c r="I890" s="198"/>
    </row>
    <row r="891" ht="19.5" customHeight="1">
      <c r="B891" s="194"/>
      <c r="C891" s="190"/>
      <c r="D891" s="195"/>
      <c r="E891" s="196"/>
      <c r="F891" s="197"/>
      <c r="H891" s="198"/>
      <c r="I891" s="198"/>
    </row>
    <row r="892" ht="19.5" customHeight="1">
      <c r="B892" s="194"/>
      <c r="C892" s="190"/>
      <c r="D892" s="195"/>
      <c r="E892" s="196"/>
      <c r="F892" s="197"/>
      <c r="H892" s="198"/>
      <c r="I892" s="198"/>
    </row>
    <row r="893" ht="19.5" customHeight="1">
      <c r="B893" s="194"/>
      <c r="C893" s="190"/>
      <c r="D893" s="195"/>
      <c r="E893" s="196"/>
      <c r="F893" s="197"/>
      <c r="H893" s="198"/>
      <c r="I893" s="198"/>
    </row>
    <row r="894" ht="19.5" customHeight="1">
      <c r="B894" s="194"/>
      <c r="C894" s="190"/>
      <c r="D894" s="195"/>
      <c r="E894" s="196"/>
      <c r="F894" s="197"/>
      <c r="H894" s="198"/>
      <c r="I894" s="198"/>
    </row>
    <row r="895" ht="19.5" customHeight="1">
      <c r="B895" s="194"/>
      <c r="C895" s="190"/>
      <c r="D895" s="195"/>
      <c r="E895" s="196"/>
      <c r="F895" s="197"/>
      <c r="H895" s="198"/>
      <c r="I895" s="198"/>
    </row>
    <row r="896" ht="19.5" customHeight="1">
      <c r="B896" s="194"/>
      <c r="C896" s="190"/>
      <c r="D896" s="195"/>
      <c r="E896" s="196"/>
      <c r="F896" s="197"/>
      <c r="H896" s="198"/>
      <c r="I896" s="198"/>
    </row>
    <row r="897" ht="19.5" customHeight="1">
      <c r="B897" s="194"/>
      <c r="C897" s="190"/>
      <c r="D897" s="195"/>
      <c r="E897" s="196"/>
      <c r="F897" s="197"/>
      <c r="H897" s="198"/>
      <c r="I897" s="198"/>
    </row>
    <row r="898" ht="19.5" customHeight="1">
      <c r="B898" s="194"/>
      <c r="C898" s="190"/>
      <c r="D898" s="195"/>
      <c r="E898" s="196"/>
      <c r="F898" s="197"/>
      <c r="H898" s="198"/>
      <c r="I898" s="198"/>
    </row>
    <row r="899" ht="19.5" customHeight="1">
      <c r="B899" s="194"/>
      <c r="C899" s="190"/>
      <c r="D899" s="195"/>
      <c r="E899" s="196"/>
      <c r="F899" s="197"/>
      <c r="H899" s="198"/>
      <c r="I899" s="198"/>
    </row>
    <row r="900" ht="19.5" customHeight="1">
      <c r="B900" s="194"/>
      <c r="C900" s="190"/>
      <c r="D900" s="195"/>
      <c r="E900" s="196"/>
      <c r="F900" s="197"/>
      <c r="H900" s="198"/>
      <c r="I900" s="198"/>
    </row>
    <row r="901" ht="19.5" customHeight="1">
      <c r="B901" s="194"/>
      <c r="C901" s="190"/>
      <c r="D901" s="195"/>
      <c r="E901" s="196"/>
      <c r="F901" s="197"/>
      <c r="H901" s="198"/>
      <c r="I901" s="198"/>
    </row>
    <row r="902" ht="19.5" customHeight="1">
      <c r="B902" s="194"/>
      <c r="C902" s="190"/>
      <c r="D902" s="195"/>
      <c r="E902" s="196"/>
      <c r="F902" s="197"/>
      <c r="H902" s="198"/>
      <c r="I902" s="198"/>
    </row>
    <row r="903" ht="19.5" customHeight="1">
      <c r="B903" s="194"/>
      <c r="C903" s="190"/>
      <c r="D903" s="195"/>
      <c r="E903" s="196"/>
      <c r="F903" s="197"/>
      <c r="H903" s="198"/>
      <c r="I903" s="198"/>
    </row>
    <row r="904" ht="19.5" customHeight="1">
      <c r="B904" s="194"/>
      <c r="C904" s="190"/>
      <c r="D904" s="195"/>
      <c r="E904" s="196"/>
      <c r="F904" s="197"/>
      <c r="H904" s="198"/>
      <c r="I904" s="198"/>
    </row>
    <row r="905" ht="19.5" customHeight="1">
      <c r="B905" s="194"/>
      <c r="C905" s="190"/>
      <c r="D905" s="195"/>
      <c r="E905" s="196"/>
      <c r="F905" s="197"/>
      <c r="H905" s="198"/>
      <c r="I905" s="198"/>
    </row>
    <row r="906" ht="19.5" customHeight="1">
      <c r="B906" s="194"/>
      <c r="C906" s="190"/>
      <c r="D906" s="195"/>
      <c r="E906" s="196"/>
      <c r="F906" s="197"/>
      <c r="H906" s="198"/>
      <c r="I906" s="198"/>
    </row>
    <row r="907" ht="19.5" customHeight="1">
      <c r="B907" s="194"/>
      <c r="C907" s="190"/>
      <c r="D907" s="195"/>
      <c r="E907" s="196"/>
      <c r="F907" s="197"/>
      <c r="H907" s="198"/>
      <c r="I907" s="198"/>
    </row>
    <row r="908" ht="19.5" customHeight="1">
      <c r="B908" s="194"/>
      <c r="C908" s="190"/>
      <c r="D908" s="195"/>
      <c r="E908" s="196"/>
      <c r="F908" s="197"/>
      <c r="H908" s="198"/>
      <c r="I908" s="198"/>
    </row>
    <row r="909" ht="19.5" customHeight="1">
      <c r="B909" s="194"/>
      <c r="C909" s="190"/>
      <c r="D909" s="195"/>
      <c r="E909" s="196"/>
      <c r="F909" s="197"/>
      <c r="H909" s="198"/>
      <c r="I909" s="198"/>
    </row>
    <row r="910" ht="19.5" customHeight="1">
      <c r="B910" s="194"/>
      <c r="C910" s="190"/>
      <c r="D910" s="195"/>
      <c r="E910" s="196"/>
      <c r="F910" s="197"/>
      <c r="H910" s="198"/>
      <c r="I910" s="198"/>
    </row>
    <row r="911" ht="19.5" customHeight="1">
      <c r="B911" s="194"/>
      <c r="C911" s="190"/>
      <c r="D911" s="195"/>
      <c r="E911" s="196"/>
      <c r="F911" s="197"/>
      <c r="H911" s="198"/>
      <c r="I911" s="198"/>
    </row>
    <row r="912" ht="19.5" customHeight="1">
      <c r="B912" s="194"/>
      <c r="C912" s="190"/>
      <c r="D912" s="195"/>
      <c r="E912" s="196"/>
      <c r="F912" s="197"/>
      <c r="H912" s="198"/>
      <c r="I912" s="198"/>
    </row>
    <row r="913" ht="19.5" customHeight="1">
      <c r="B913" s="194"/>
      <c r="C913" s="190"/>
      <c r="D913" s="195"/>
      <c r="E913" s="196"/>
      <c r="F913" s="197"/>
      <c r="H913" s="198"/>
      <c r="I913" s="198"/>
    </row>
    <row r="914" ht="19.5" customHeight="1">
      <c r="B914" s="194"/>
      <c r="C914" s="190"/>
      <c r="D914" s="195"/>
      <c r="E914" s="196"/>
      <c r="F914" s="197"/>
      <c r="H914" s="198"/>
      <c r="I914" s="198"/>
    </row>
    <row r="915" ht="19.5" customHeight="1">
      <c r="B915" s="194"/>
      <c r="C915" s="190"/>
      <c r="D915" s="195"/>
      <c r="E915" s="196"/>
      <c r="F915" s="197"/>
      <c r="H915" s="198"/>
      <c r="I915" s="198"/>
    </row>
    <row r="916" ht="19.5" customHeight="1">
      <c r="B916" s="194"/>
      <c r="C916" s="190"/>
      <c r="D916" s="195"/>
      <c r="E916" s="196"/>
      <c r="F916" s="197"/>
      <c r="H916" s="198"/>
      <c r="I916" s="198"/>
    </row>
    <row r="917" ht="19.5" customHeight="1">
      <c r="B917" s="194"/>
      <c r="C917" s="190"/>
      <c r="D917" s="195"/>
      <c r="E917" s="196"/>
      <c r="F917" s="197"/>
      <c r="H917" s="198"/>
      <c r="I917" s="198"/>
    </row>
    <row r="918" ht="19.5" customHeight="1">
      <c r="B918" s="194"/>
      <c r="C918" s="190"/>
      <c r="D918" s="195"/>
      <c r="E918" s="196"/>
      <c r="F918" s="197"/>
      <c r="H918" s="198"/>
      <c r="I918" s="198"/>
    </row>
    <row r="919" ht="19.5" customHeight="1">
      <c r="B919" s="194"/>
      <c r="C919" s="190"/>
      <c r="D919" s="195"/>
      <c r="E919" s="196"/>
      <c r="F919" s="197"/>
      <c r="H919" s="198"/>
      <c r="I919" s="198"/>
    </row>
    <row r="920" ht="19.5" customHeight="1">
      <c r="B920" s="194"/>
      <c r="C920" s="190"/>
      <c r="D920" s="195"/>
      <c r="E920" s="196"/>
      <c r="F920" s="197"/>
      <c r="H920" s="198"/>
      <c r="I920" s="198"/>
    </row>
    <row r="921" ht="19.5" customHeight="1">
      <c r="B921" s="194"/>
      <c r="C921" s="190"/>
      <c r="D921" s="195"/>
      <c r="E921" s="196"/>
      <c r="F921" s="197"/>
      <c r="H921" s="198"/>
      <c r="I921" s="198"/>
    </row>
    <row r="922" ht="19.5" customHeight="1">
      <c r="B922" s="194"/>
      <c r="C922" s="190"/>
      <c r="D922" s="195"/>
      <c r="E922" s="196"/>
      <c r="F922" s="197"/>
      <c r="H922" s="198"/>
      <c r="I922" s="198"/>
    </row>
    <row r="923" ht="19.5" customHeight="1">
      <c r="B923" s="194"/>
      <c r="C923" s="190"/>
      <c r="D923" s="195"/>
      <c r="E923" s="196"/>
      <c r="F923" s="197"/>
      <c r="H923" s="198"/>
      <c r="I923" s="198"/>
    </row>
    <row r="924" ht="19.5" customHeight="1">
      <c r="B924" s="194"/>
      <c r="C924" s="190"/>
      <c r="D924" s="195"/>
      <c r="E924" s="196"/>
      <c r="F924" s="197"/>
      <c r="H924" s="198"/>
      <c r="I924" s="198"/>
    </row>
    <row r="925" ht="19.5" customHeight="1">
      <c r="B925" s="194"/>
      <c r="C925" s="190"/>
      <c r="D925" s="195"/>
      <c r="E925" s="196"/>
      <c r="F925" s="197"/>
      <c r="H925" s="198"/>
      <c r="I925" s="198"/>
    </row>
    <row r="926" ht="19.5" customHeight="1">
      <c r="B926" s="194"/>
      <c r="C926" s="190"/>
      <c r="D926" s="195"/>
      <c r="E926" s="196"/>
      <c r="F926" s="197"/>
      <c r="H926" s="198"/>
      <c r="I926" s="198"/>
    </row>
    <row r="927" ht="19.5" customHeight="1">
      <c r="B927" s="194"/>
      <c r="C927" s="190"/>
      <c r="D927" s="195"/>
      <c r="E927" s="196"/>
      <c r="F927" s="197"/>
      <c r="H927" s="198"/>
      <c r="I927" s="198"/>
    </row>
    <row r="928" ht="19.5" customHeight="1">
      <c r="B928" s="194"/>
      <c r="C928" s="190"/>
      <c r="D928" s="195"/>
      <c r="E928" s="196"/>
      <c r="F928" s="197"/>
      <c r="H928" s="198"/>
      <c r="I928" s="198"/>
    </row>
    <row r="929" ht="19.5" customHeight="1">
      <c r="B929" s="194"/>
      <c r="C929" s="190"/>
      <c r="D929" s="195"/>
      <c r="E929" s="196"/>
      <c r="F929" s="197"/>
      <c r="H929" s="198"/>
      <c r="I929" s="198"/>
    </row>
    <row r="930" ht="19.5" customHeight="1">
      <c r="B930" s="194"/>
      <c r="C930" s="190"/>
      <c r="D930" s="195"/>
      <c r="E930" s="196"/>
      <c r="F930" s="197"/>
      <c r="H930" s="198"/>
      <c r="I930" s="198"/>
    </row>
    <row r="931" ht="19.5" customHeight="1">
      <c r="B931" s="194"/>
      <c r="C931" s="190"/>
      <c r="D931" s="195"/>
      <c r="E931" s="196"/>
      <c r="F931" s="197"/>
      <c r="H931" s="198"/>
      <c r="I931" s="198"/>
    </row>
    <row r="932" ht="19.5" customHeight="1">
      <c r="B932" s="194"/>
      <c r="C932" s="190"/>
      <c r="D932" s="195"/>
      <c r="E932" s="196"/>
      <c r="F932" s="197"/>
      <c r="H932" s="198"/>
      <c r="I932" s="198"/>
    </row>
    <row r="933" ht="19.5" customHeight="1">
      <c r="B933" s="194"/>
      <c r="C933" s="190"/>
      <c r="D933" s="195"/>
      <c r="E933" s="196"/>
      <c r="F933" s="197"/>
      <c r="H933" s="198"/>
      <c r="I933" s="198"/>
    </row>
    <row r="934" ht="19.5" customHeight="1">
      <c r="B934" s="194"/>
      <c r="C934" s="190"/>
      <c r="D934" s="195"/>
      <c r="E934" s="196"/>
      <c r="F934" s="197"/>
      <c r="H934" s="198"/>
      <c r="I934" s="198"/>
    </row>
    <row r="935" ht="19.5" customHeight="1">
      <c r="B935" s="194"/>
      <c r="C935" s="190"/>
      <c r="D935" s="195"/>
      <c r="E935" s="196"/>
      <c r="F935" s="197"/>
      <c r="H935" s="198"/>
      <c r="I935" s="198"/>
    </row>
    <row r="936" ht="19.5" customHeight="1">
      <c r="B936" s="194"/>
      <c r="C936" s="190"/>
      <c r="D936" s="195"/>
      <c r="E936" s="196"/>
      <c r="F936" s="197"/>
      <c r="H936" s="198"/>
      <c r="I936" s="198"/>
    </row>
    <row r="937" ht="19.5" customHeight="1">
      <c r="B937" s="194"/>
      <c r="C937" s="190"/>
      <c r="D937" s="195"/>
      <c r="E937" s="196"/>
      <c r="F937" s="197"/>
      <c r="H937" s="198"/>
      <c r="I937" s="198"/>
    </row>
    <row r="938" ht="19.5" customHeight="1">
      <c r="B938" s="194"/>
      <c r="C938" s="190"/>
      <c r="D938" s="195"/>
      <c r="E938" s="196"/>
      <c r="F938" s="197"/>
      <c r="H938" s="198"/>
      <c r="I938" s="198"/>
    </row>
    <row r="939" ht="19.5" customHeight="1">
      <c r="B939" s="194"/>
      <c r="C939" s="190"/>
      <c r="D939" s="195"/>
      <c r="E939" s="196"/>
      <c r="F939" s="197"/>
      <c r="H939" s="198"/>
      <c r="I939" s="198"/>
    </row>
    <row r="940" ht="19.5" customHeight="1">
      <c r="B940" s="194"/>
      <c r="C940" s="190"/>
      <c r="D940" s="195"/>
      <c r="E940" s="196"/>
      <c r="F940" s="197"/>
      <c r="H940" s="198"/>
      <c r="I940" s="198"/>
    </row>
    <row r="941" ht="19.5" customHeight="1">
      <c r="B941" s="194"/>
      <c r="C941" s="190"/>
      <c r="D941" s="195"/>
      <c r="E941" s="196"/>
      <c r="F941" s="197"/>
      <c r="H941" s="198"/>
      <c r="I941" s="198"/>
    </row>
    <row r="942" ht="19.5" customHeight="1">
      <c r="B942" s="194"/>
      <c r="C942" s="190"/>
      <c r="D942" s="195"/>
      <c r="E942" s="196"/>
      <c r="F942" s="197"/>
      <c r="H942" s="198"/>
      <c r="I942" s="198"/>
    </row>
    <row r="943" ht="19.5" customHeight="1">
      <c r="B943" s="194"/>
      <c r="C943" s="190"/>
      <c r="D943" s="195"/>
      <c r="E943" s="196"/>
      <c r="F943" s="197"/>
      <c r="H943" s="198"/>
      <c r="I943" s="198"/>
    </row>
    <row r="944" ht="19.5" customHeight="1">
      <c r="B944" s="194"/>
      <c r="C944" s="190"/>
      <c r="D944" s="195"/>
      <c r="E944" s="196"/>
      <c r="F944" s="197"/>
      <c r="H944" s="198"/>
      <c r="I944" s="198"/>
    </row>
    <row r="945" ht="19.5" customHeight="1">
      <c r="B945" s="194"/>
      <c r="C945" s="190"/>
      <c r="D945" s="195"/>
      <c r="E945" s="196"/>
      <c r="F945" s="197"/>
      <c r="H945" s="198"/>
      <c r="I945" s="198"/>
    </row>
    <row r="946" ht="19.5" customHeight="1">
      <c r="B946" s="194"/>
      <c r="C946" s="190"/>
      <c r="D946" s="195"/>
      <c r="E946" s="196"/>
      <c r="F946" s="197"/>
      <c r="H946" s="198"/>
      <c r="I946" s="198"/>
    </row>
    <row r="947" ht="19.5" customHeight="1">
      <c r="B947" s="194"/>
      <c r="C947" s="190"/>
      <c r="D947" s="195"/>
      <c r="E947" s="196"/>
      <c r="F947" s="197"/>
      <c r="H947" s="198"/>
      <c r="I947" s="198"/>
    </row>
    <row r="948" ht="19.5" customHeight="1">
      <c r="B948" s="194"/>
      <c r="C948" s="190"/>
      <c r="D948" s="195"/>
      <c r="E948" s="196"/>
      <c r="F948" s="197"/>
      <c r="H948" s="198"/>
      <c r="I948" s="198"/>
    </row>
    <row r="949" ht="19.5" customHeight="1">
      <c r="B949" s="194"/>
      <c r="C949" s="190"/>
      <c r="D949" s="195"/>
      <c r="E949" s="196"/>
      <c r="F949" s="197"/>
      <c r="H949" s="198"/>
      <c r="I949" s="198"/>
    </row>
    <row r="950" ht="19.5" customHeight="1">
      <c r="B950" s="194"/>
      <c r="C950" s="190"/>
      <c r="D950" s="195"/>
      <c r="E950" s="196"/>
      <c r="F950" s="197"/>
      <c r="H950" s="198"/>
      <c r="I950" s="198"/>
    </row>
    <row r="951" ht="19.5" customHeight="1">
      <c r="B951" s="194"/>
      <c r="C951" s="190"/>
      <c r="D951" s="195"/>
      <c r="E951" s="196"/>
      <c r="F951" s="197"/>
      <c r="H951" s="198"/>
      <c r="I951" s="198"/>
    </row>
    <row r="952" ht="19.5" customHeight="1">
      <c r="B952" s="194"/>
      <c r="C952" s="190"/>
      <c r="D952" s="195"/>
      <c r="E952" s="196"/>
      <c r="F952" s="197"/>
      <c r="H952" s="198"/>
      <c r="I952" s="198"/>
    </row>
    <row r="953" ht="19.5" customHeight="1">
      <c r="B953" s="194"/>
      <c r="C953" s="190"/>
      <c r="D953" s="195"/>
      <c r="E953" s="196"/>
      <c r="F953" s="197"/>
      <c r="H953" s="198"/>
      <c r="I953" s="198"/>
    </row>
    <row r="954" ht="19.5" customHeight="1">
      <c r="B954" s="194"/>
      <c r="C954" s="190"/>
      <c r="D954" s="195"/>
      <c r="E954" s="196"/>
      <c r="F954" s="197"/>
      <c r="H954" s="198"/>
      <c r="I954" s="198"/>
    </row>
    <row r="955" ht="19.5" customHeight="1">
      <c r="B955" s="194"/>
      <c r="C955" s="190"/>
      <c r="D955" s="195"/>
      <c r="E955" s="196"/>
      <c r="F955" s="197"/>
      <c r="H955" s="198"/>
      <c r="I955" s="198"/>
    </row>
    <row r="956" ht="19.5" customHeight="1">
      <c r="B956" s="194"/>
      <c r="C956" s="190"/>
      <c r="D956" s="195"/>
      <c r="E956" s="196"/>
      <c r="F956" s="197"/>
      <c r="H956" s="198"/>
      <c r="I956" s="198"/>
    </row>
    <row r="957" ht="19.5" customHeight="1">
      <c r="B957" s="194"/>
      <c r="C957" s="190"/>
      <c r="D957" s="195"/>
      <c r="E957" s="196"/>
      <c r="F957" s="197"/>
      <c r="H957" s="198"/>
      <c r="I957" s="198"/>
    </row>
    <row r="958" ht="19.5" customHeight="1">
      <c r="B958" s="194"/>
      <c r="C958" s="190"/>
      <c r="D958" s="195"/>
      <c r="E958" s="196"/>
      <c r="F958" s="197"/>
      <c r="H958" s="198"/>
      <c r="I958" s="198"/>
    </row>
    <row r="959" ht="19.5" customHeight="1">
      <c r="B959" s="194"/>
      <c r="C959" s="190"/>
      <c r="D959" s="195"/>
      <c r="E959" s="196"/>
      <c r="F959" s="197"/>
      <c r="H959" s="198"/>
      <c r="I959" s="198"/>
    </row>
    <row r="960" ht="19.5" customHeight="1">
      <c r="B960" s="194"/>
      <c r="C960" s="190"/>
      <c r="D960" s="195"/>
      <c r="E960" s="196"/>
      <c r="F960" s="197"/>
      <c r="H960" s="198"/>
      <c r="I960" s="198"/>
    </row>
    <row r="961" ht="19.5" customHeight="1">
      <c r="B961" s="194"/>
      <c r="C961" s="190"/>
      <c r="D961" s="195"/>
      <c r="E961" s="196"/>
      <c r="F961" s="197"/>
      <c r="H961" s="198"/>
      <c r="I961" s="198"/>
    </row>
    <row r="962" ht="19.5" customHeight="1">
      <c r="B962" s="194"/>
      <c r="C962" s="190"/>
      <c r="D962" s="195"/>
      <c r="E962" s="196"/>
      <c r="F962" s="197"/>
      <c r="H962" s="198"/>
      <c r="I962" s="198"/>
    </row>
    <row r="963" ht="19.5" customHeight="1">
      <c r="B963" s="194"/>
      <c r="C963" s="190"/>
      <c r="D963" s="195"/>
      <c r="E963" s="196"/>
      <c r="F963" s="197"/>
      <c r="H963" s="198"/>
      <c r="I963" s="198"/>
    </row>
    <row r="964" ht="19.5" customHeight="1">
      <c r="B964" s="194"/>
      <c r="C964" s="190"/>
      <c r="D964" s="195"/>
      <c r="E964" s="196"/>
      <c r="F964" s="197"/>
      <c r="H964" s="198"/>
      <c r="I964" s="198"/>
    </row>
    <row r="965" ht="19.5" customHeight="1">
      <c r="B965" s="194"/>
      <c r="C965" s="190"/>
      <c r="D965" s="195"/>
      <c r="E965" s="196"/>
      <c r="F965" s="197"/>
      <c r="H965" s="198"/>
      <c r="I965" s="198"/>
    </row>
    <row r="966" ht="19.5" customHeight="1">
      <c r="B966" s="194"/>
      <c r="C966" s="190"/>
      <c r="D966" s="195"/>
      <c r="E966" s="196"/>
      <c r="F966" s="197"/>
      <c r="H966" s="198"/>
      <c r="I966" s="198"/>
    </row>
    <row r="967" ht="19.5" customHeight="1">
      <c r="B967" s="194"/>
      <c r="C967" s="190"/>
      <c r="D967" s="195"/>
      <c r="E967" s="196"/>
      <c r="F967" s="197"/>
      <c r="H967" s="198"/>
      <c r="I967" s="198"/>
    </row>
    <row r="968" ht="19.5" customHeight="1">
      <c r="B968" s="194"/>
      <c r="C968" s="190"/>
      <c r="D968" s="195"/>
      <c r="E968" s="196"/>
      <c r="F968" s="197"/>
      <c r="H968" s="198"/>
      <c r="I968" s="198"/>
    </row>
    <row r="969" ht="19.5" customHeight="1">
      <c r="B969" s="194"/>
      <c r="C969" s="190"/>
      <c r="D969" s="195"/>
      <c r="E969" s="196"/>
      <c r="F969" s="197"/>
      <c r="H969" s="198"/>
      <c r="I969" s="198"/>
    </row>
    <row r="970" ht="19.5" customHeight="1">
      <c r="B970" s="194"/>
      <c r="C970" s="190"/>
      <c r="D970" s="195"/>
      <c r="E970" s="196"/>
      <c r="F970" s="197"/>
      <c r="H970" s="198"/>
      <c r="I970" s="198"/>
    </row>
    <row r="971" ht="19.5" customHeight="1">
      <c r="B971" s="194"/>
      <c r="C971" s="190"/>
      <c r="D971" s="195"/>
      <c r="E971" s="196"/>
      <c r="F971" s="197"/>
      <c r="H971" s="198"/>
      <c r="I971" s="198"/>
    </row>
    <row r="972" ht="19.5" customHeight="1">
      <c r="B972" s="194"/>
      <c r="C972" s="190"/>
      <c r="D972" s="195"/>
      <c r="E972" s="196"/>
      <c r="F972" s="197"/>
      <c r="H972" s="198"/>
      <c r="I972" s="198"/>
    </row>
    <row r="973" ht="19.5" customHeight="1">
      <c r="B973" s="194"/>
      <c r="C973" s="190"/>
      <c r="D973" s="195"/>
      <c r="E973" s="196"/>
      <c r="F973" s="197"/>
      <c r="H973" s="198"/>
      <c r="I973" s="198"/>
    </row>
    <row r="974" ht="19.5" customHeight="1">
      <c r="B974" s="194"/>
      <c r="C974" s="190"/>
      <c r="D974" s="195"/>
      <c r="E974" s="196"/>
      <c r="F974" s="197"/>
      <c r="H974" s="198"/>
      <c r="I974" s="198"/>
    </row>
    <row r="975" ht="19.5" customHeight="1">
      <c r="B975" s="194"/>
      <c r="C975" s="190"/>
      <c r="D975" s="195"/>
      <c r="E975" s="196"/>
      <c r="F975" s="197"/>
      <c r="H975" s="198"/>
      <c r="I975" s="198"/>
    </row>
    <row r="976" ht="19.5" customHeight="1">
      <c r="B976" s="194"/>
      <c r="C976" s="190"/>
      <c r="D976" s="195"/>
      <c r="E976" s="196"/>
      <c r="F976" s="197"/>
      <c r="H976" s="198"/>
      <c r="I976" s="198"/>
    </row>
    <row r="977" ht="19.5" customHeight="1">
      <c r="B977" s="194"/>
      <c r="C977" s="190"/>
      <c r="D977" s="195"/>
      <c r="E977" s="196"/>
      <c r="F977" s="197"/>
      <c r="H977" s="198"/>
      <c r="I977" s="198"/>
    </row>
    <row r="978" ht="19.5" customHeight="1">
      <c r="B978" s="194"/>
      <c r="C978" s="190"/>
      <c r="D978" s="195"/>
      <c r="E978" s="196"/>
      <c r="F978" s="197"/>
      <c r="H978" s="198"/>
      <c r="I978" s="198"/>
    </row>
    <row r="979" ht="19.5" customHeight="1">
      <c r="B979" s="194"/>
      <c r="C979" s="190"/>
      <c r="D979" s="195"/>
      <c r="E979" s="196"/>
      <c r="F979" s="197"/>
      <c r="H979" s="198"/>
      <c r="I979" s="198"/>
    </row>
    <row r="980" ht="19.5" customHeight="1">
      <c r="B980" s="194"/>
      <c r="C980" s="190"/>
      <c r="D980" s="195"/>
      <c r="E980" s="196"/>
      <c r="F980" s="197"/>
      <c r="H980" s="198"/>
      <c r="I980" s="198"/>
    </row>
    <row r="981" ht="19.5" customHeight="1">
      <c r="B981" s="194"/>
      <c r="C981" s="190"/>
      <c r="D981" s="195"/>
      <c r="E981" s="196"/>
      <c r="F981" s="197"/>
      <c r="H981" s="198"/>
      <c r="I981" s="198"/>
    </row>
    <row r="982" ht="19.5" customHeight="1">
      <c r="B982" s="194"/>
      <c r="C982" s="190"/>
      <c r="D982" s="195"/>
      <c r="E982" s="196"/>
      <c r="F982" s="197"/>
      <c r="H982" s="198"/>
      <c r="I982" s="198"/>
    </row>
    <row r="983" ht="19.5" customHeight="1">
      <c r="B983" s="194"/>
      <c r="C983" s="190"/>
      <c r="D983" s="195"/>
      <c r="E983" s="196"/>
      <c r="F983" s="197"/>
      <c r="H983" s="198"/>
      <c r="I983" s="198"/>
    </row>
    <row r="984" ht="19.5" customHeight="1">
      <c r="B984" s="194"/>
      <c r="C984" s="190"/>
      <c r="D984" s="195"/>
      <c r="E984" s="196"/>
      <c r="F984" s="197"/>
      <c r="H984" s="198"/>
      <c r="I984" s="198"/>
    </row>
    <row r="985" ht="19.5" customHeight="1">
      <c r="B985" s="194"/>
      <c r="C985" s="190"/>
      <c r="D985" s="195"/>
      <c r="E985" s="196"/>
      <c r="F985" s="197"/>
      <c r="H985" s="198"/>
      <c r="I985" s="198"/>
    </row>
    <row r="986" ht="19.5" customHeight="1">
      <c r="B986" s="194"/>
      <c r="C986" s="190"/>
      <c r="D986" s="195"/>
      <c r="E986" s="196"/>
      <c r="F986" s="197"/>
      <c r="H986" s="198"/>
      <c r="I986" s="198"/>
    </row>
    <row r="987" ht="19.5" customHeight="1">
      <c r="B987" s="194"/>
      <c r="C987" s="190"/>
      <c r="D987" s="195"/>
      <c r="E987" s="196"/>
      <c r="F987" s="197"/>
      <c r="H987" s="198"/>
      <c r="I987" s="198"/>
    </row>
    <row r="988" ht="19.5" customHeight="1">
      <c r="B988" s="194"/>
      <c r="C988" s="190"/>
      <c r="D988" s="195"/>
      <c r="E988" s="196"/>
      <c r="F988" s="197"/>
      <c r="H988" s="198"/>
      <c r="I988" s="198"/>
    </row>
    <row r="989" ht="19.5" customHeight="1">
      <c r="B989" s="194"/>
      <c r="C989" s="190"/>
      <c r="D989" s="195"/>
      <c r="E989" s="196"/>
      <c r="F989" s="197"/>
      <c r="H989" s="198"/>
      <c r="I989" s="198"/>
    </row>
    <row r="990" ht="19.5" customHeight="1">
      <c r="B990" s="194"/>
      <c r="C990" s="190"/>
      <c r="D990" s="195"/>
      <c r="E990" s="196"/>
      <c r="F990" s="197"/>
      <c r="H990" s="198"/>
      <c r="I990" s="198"/>
    </row>
    <row r="991" ht="19.5" customHeight="1">
      <c r="B991" s="194"/>
      <c r="C991" s="190"/>
      <c r="D991" s="195"/>
      <c r="E991" s="196"/>
      <c r="F991" s="197"/>
      <c r="H991" s="198"/>
      <c r="I991" s="198"/>
    </row>
    <row r="992" ht="19.5" customHeight="1">
      <c r="B992" s="194"/>
      <c r="C992" s="190"/>
      <c r="D992" s="195"/>
      <c r="E992" s="196"/>
      <c r="F992" s="197"/>
      <c r="H992" s="198"/>
      <c r="I992" s="198"/>
    </row>
    <row r="993" ht="19.5" customHeight="1">
      <c r="B993" s="194"/>
      <c r="C993" s="190"/>
      <c r="D993" s="195"/>
      <c r="E993" s="196"/>
      <c r="F993" s="197"/>
      <c r="H993" s="198"/>
      <c r="I993" s="198"/>
    </row>
    <row r="994" ht="19.5" customHeight="1">
      <c r="B994" s="194"/>
      <c r="C994" s="190"/>
      <c r="D994" s="195"/>
      <c r="E994" s="196"/>
      <c r="F994" s="197"/>
      <c r="H994" s="198"/>
      <c r="I994" s="198"/>
    </row>
    <row r="995" ht="19.5" customHeight="1">
      <c r="B995" s="194"/>
      <c r="C995" s="190"/>
      <c r="D995" s="195"/>
      <c r="E995" s="196"/>
      <c r="F995" s="197"/>
      <c r="H995" s="198"/>
      <c r="I995" s="198"/>
    </row>
    <row r="996" ht="19.5" customHeight="1">
      <c r="B996" s="194"/>
      <c r="C996" s="190"/>
      <c r="D996" s="195"/>
      <c r="E996" s="196"/>
      <c r="F996" s="197"/>
      <c r="H996" s="198"/>
      <c r="I996" s="198"/>
    </row>
    <row r="997" ht="19.5" customHeight="1">
      <c r="B997" s="194"/>
      <c r="C997" s="190"/>
      <c r="D997" s="195"/>
      <c r="E997" s="196"/>
      <c r="F997" s="197"/>
      <c r="H997" s="198"/>
      <c r="I997" s="198"/>
    </row>
    <row r="998" ht="19.5" customHeight="1">
      <c r="B998" s="194"/>
      <c r="C998" s="190"/>
      <c r="D998" s="195"/>
      <c r="E998" s="196"/>
      <c r="F998" s="197"/>
      <c r="H998" s="198"/>
      <c r="I998" s="198"/>
    </row>
    <row r="999" ht="19.5" customHeight="1">
      <c r="B999" s="194"/>
      <c r="C999" s="190"/>
      <c r="D999" s="195"/>
      <c r="E999" s="196"/>
      <c r="F999" s="197"/>
      <c r="H999" s="198"/>
      <c r="I999" s="198"/>
    </row>
    <row r="1000" ht="19.5" customHeight="1">
      <c r="B1000" s="194"/>
      <c r="C1000" s="190"/>
      <c r="D1000" s="195"/>
      <c r="E1000" s="196"/>
      <c r="F1000" s="197"/>
      <c r="H1000" s="198"/>
      <c r="I1000" s="198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A1" s="1" t="s">
        <v>0</v>
      </c>
      <c r="C1" t="s">
        <v>1</v>
      </c>
      <c r="M1" s="2" t="s">
        <v>2</v>
      </c>
      <c r="N1" s="5">
        <v>825.0</v>
      </c>
    </row>
    <row r="2" ht="19.5" customHeight="1">
      <c r="B2" s="4" t="s">
        <v>3</v>
      </c>
      <c r="C2" s="7">
        <v>1.0</v>
      </c>
      <c r="D2" s="7">
        <v>2.0</v>
      </c>
      <c r="E2" s="7">
        <v>3.0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17" t="s">
        <v>9</v>
      </c>
      <c r="M2" s="9" t="s">
        <v>10</v>
      </c>
      <c r="N2" s="19">
        <v>198.0</v>
      </c>
    </row>
    <row r="3" ht="19.5" customHeight="1">
      <c r="A3" t="s">
        <v>11</v>
      </c>
      <c r="B3" s="21">
        <v>1.0</v>
      </c>
      <c r="C3" s="24"/>
      <c r="D3" s="27">
        <f>K3-sum(G3:J3)</f>
        <v>9</v>
      </c>
      <c r="E3" s="29"/>
      <c r="F3" s="31"/>
      <c r="G3" s="34">
        <f>(N17-(N15-(N16-N13)))</f>
        <v>5</v>
      </c>
      <c r="H3" s="37">
        <f>0/4*H11</f>
        <v>0</v>
      </c>
      <c r="I3" s="37">
        <f>0/14*I11</f>
        <v>0</v>
      </c>
      <c r="J3" s="40">
        <f>0/83*J11</f>
        <v>0</v>
      </c>
      <c r="K3" s="42">
        <f>(N14-N12)+(N17-(N15-(N16-N13)))</f>
        <v>14</v>
      </c>
      <c r="M3" s="9" t="s">
        <v>16</v>
      </c>
      <c r="N3" s="19">
        <v>44.0</v>
      </c>
    </row>
    <row r="4" ht="19.5" customHeight="1">
      <c r="B4" s="21">
        <v>2.0</v>
      </c>
      <c r="C4" s="48">
        <f>C11-sum(C7:C10)</f>
        <v>0.9101385392</v>
      </c>
      <c r="D4" s="45"/>
      <c r="E4" s="45"/>
      <c r="F4" s="47"/>
      <c r="G4" s="51">
        <f>G11-G3-sum(G8:G10)</f>
        <v>10.26213592</v>
      </c>
      <c r="H4" s="56">
        <f>0/4*H11</f>
        <v>0</v>
      </c>
      <c r="I4" s="56">
        <f>1/14*I11</f>
        <v>0.7142857143</v>
      </c>
      <c r="J4" s="59">
        <f>1/83*J11</f>
        <v>0.5903614458</v>
      </c>
      <c r="K4" s="62">
        <f>sum(C4:J6)</f>
        <v>15.19120734</v>
      </c>
      <c r="M4" s="9" t="s">
        <v>17</v>
      </c>
      <c r="N4" s="19">
        <v>7.0</v>
      </c>
    </row>
    <row r="5" ht="19.5" customHeight="1">
      <c r="B5" s="21">
        <v>3.0</v>
      </c>
      <c r="C5" s="64"/>
      <c r="D5" s="55"/>
      <c r="E5" s="55">
        <v>0.0</v>
      </c>
      <c r="F5" s="55"/>
      <c r="G5" s="54"/>
      <c r="H5" s="56">
        <f>2/4*H11</f>
        <v>2</v>
      </c>
      <c r="I5" s="56">
        <f>1/14*I11</f>
        <v>0.7142857143</v>
      </c>
      <c r="J5" s="59">
        <f>0/83*J11</f>
        <v>0</v>
      </c>
      <c r="K5" s="54"/>
      <c r="M5" s="9" t="s">
        <v>18</v>
      </c>
      <c r="N5" s="19">
        <v>45.0</v>
      </c>
    </row>
    <row r="6" ht="19.5" customHeight="1">
      <c r="B6" s="21" t="s">
        <v>4</v>
      </c>
      <c r="C6" s="65"/>
      <c r="D6" s="47"/>
      <c r="E6" s="45"/>
      <c r="F6" s="45"/>
      <c r="G6" s="22"/>
      <c r="H6" s="56">
        <f>0/4*H11</f>
        <v>0</v>
      </c>
      <c r="I6" s="56">
        <f>0/14*I11</f>
        <v>0</v>
      </c>
      <c r="J6" s="59">
        <f>0/83*J11</f>
        <v>0</v>
      </c>
      <c r="K6" s="22"/>
      <c r="M6" s="9" t="s">
        <v>19</v>
      </c>
      <c r="N6" s="19">
        <v>87.0</v>
      </c>
    </row>
    <row r="7" ht="19.5" customHeight="1">
      <c r="B7" s="21" t="s">
        <v>5</v>
      </c>
      <c r="C7" s="69">
        <f>N13</f>
        <v>68</v>
      </c>
      <c r="D7" s="71">
        <f>K7-C7-sum(H7:J7)</f>
        <v>311.5008606</v>
      </c>
      <c r="E7" s="20"/>
      <c r="F7" s="22"/>
      <c r="G7" s="76"/>
      <c r="H7" s="56">
        <f>0/4*H11</f>
        <v>0</v>
      </c>
      <c r="I7" s="56">
        <f>5/14*I11</f>
        <v>3.571428571</v>
      </c>
      <c r="J7" s="59">
        <f>49/83*J11</f>
        <v>28.92771084</v>
      </c>
      <c r="K7" s="82">
        <f>N12+N13</f>
        <v>412</v>
      </c>
      <c r="M7" s="9" t="s">
        <v>20</v>
      </c>
      <c r="N7" s="19">
        <v>34.0</v>
      </c>
    </row>
    <row r="8" ht="19.5" customHeight="1">
      <c r="B8" s="21" t="s">
        <v>6</v>
      </c>
      <c r="C8" s="84">
        <f>1/71*K8</f>
        <v>0.9577464789</v>
      </c>
      <c r="D8" s="56">
        <f>10/71*K8</f>
        <v>9.577464789</v>
      </c>
      <c r="E8" s="56">
        <f>40/71*K8</f>
        <v>38.30985915</v>
      </c>
      <c r="F8" s="56">
        <f>0/71*K8</f>
        <v>0</v>
      </c>
      <c r="G8" s="56">
        <f>0/71*K8</f>
        <v>0</v>
      </c>
      <c r="H8" s="76"/>
      <c r="I8" s="56">
        <f>7/71*K8</f>
        <v>6.704225352</v>
      </c>
      <c r="J8" s="59">
        <f>13/71*K8</f>
        <v>12.45070423</v>
      </c>
      <c r="K8" s="91">
        <f>N8</f>
        <v>68</v>
      </c>
      <c r="M8" s="68" t="s">
        <v>21</v>
      </c>
      <c r="N8" s="58">
        <v>68.0</v>
      </c>
    </row>
    <row r="9" ht="19.5" customHeight="1">
      <c r="B9" s="21" t="s">
        <v>7</v>
      </c>
      <c r="C9" s="84">
        <f>2/51*K9</f>
        <v>1.607843137</v>
      </c>
      <c r="D9" s="56">
        <f>13/51*K9</f>
        <v>10.45098039</v>
      </c>
      <c r="E9" s="56">
        <f>15/51*K9</f>
        <v>12.05882353</v>
      </c>
      <c r="F9" s="56">
        <f>0/51*K9</f>
        <v>0</v>
      </c>
      <c r="G9" s="56">
        <f>0/51*K9</f>
        <v>0</v>
      </c>
      <c r="H9" s="56">
        <f>1/51*K9</f>
        <v>0.8039215686</v>
      </c>
      <c r="I9" s="100"/>
      <c r="J9" s="59">
        <f>20/51*K9</f>
        <v>16.07843137</v>
      </c>
      <c r="K9" s="91">
        <f>N10</f>
        <v>41</v>
      </c>
      <c r="M9" s="68" t="s">
        <v>23</v>
      </c>
      <c r="N9" s="58">
        <v>4.0</v>
      </c>
    </row>
    <row r="10" ht="19.5" customHeight="1">
      <c r="B10" s="21" t="s">
        <v>8</v>
      </c>
      <c r="C10" s="108">
        <f>39/103*K10</f>
        <v>15.52427184</v>
      </c>
      <c r="D10" s="111">
        <f>26/103*K10</f>
        <v>10.34951456</v>
      </c>
      <c r="E10" s="111">
        <f>1/103*K10</f>
        <v>0.3980582524</v>
      </c>
      <c r="F10" s="111">
        <f>4/103*K10</f>
        <v>1.59223301</v>
      </c>
      <c r="G10" s="111">
        <f>32/103*K10</f>
        <v>12.73786408</v>
      </c>
      <c r="H10" s="111">
        <f>1/103*K10</f>
        <v>0.3980582524</v>
      </c>
      <c r="I10" s="111">
        <f>0/103*K10</f>
        <v>0</v>
      </c>
      <c r="J10" s="114"/>
      <c r="K10" s="91">
        <f>N18</f>
        <v>41</v>
      </c>
      <c r="M10" s="68" t="s">
        <v>25</v>
      </c>
      <c r="N10" s="58">
        <v>41.0</v>
      </c>
    </row>
    <row r="11" ht="19.5" customHeight="1">
      <c r="B11" s="17" t="s">
        <v>9</v>
      </c>
      <c r="C11" s="25">
        <f>N16</f>
        <v>87</v>
      </c>
      <c r="D11" s="118">
        <f>sum(D3:F10)</f>
        <v>403.2377943</v>
      </c>
      <c r="E11" s="20"/>
      <c r="F11" s="22"/>
      <c r="G11" s="25">
        <f>N17</f>
        <v>28</v>
      </c>
      <c r="H11" s="120">
        <f>N9</f>
        <v>4</v>
      </c>
      <c r="I11" s="120">
        <f>N11</f>
        <v>10</v>
      </c>
      <c r="J11" s="120">
        <f>N19</f>
        <v>49</v>
      </c>
      <c r="K11" s="83">
        <f>D14</f>
        <v>591.1912073</v>
      </c>
      <c r="M11" s="68" t="s">
        <v>26</v>
      </c>
      <c r="N11" s="58">
        <v>10.0</v>
      </c>
    </row>
    <row r="12" ht="19.5" customHeight="1">
      <c r="M12" s="9" t="s">
        <v>27</v>
      </c>
      <c r="N12" s="19">
        <v>344.0</v>
      </c>
    </row>
    <row r="13" ht="19.5" customHeight="1">
      <c r="I13" s="86" t="s">
        <v>49</v>
      </c>
      <c r="J13" s="86"/>
      <c r="M13" s="9" t="s">
        <v>28</v>
      </c>
      <c r="N13" s="19">
        <v>68.0</v>
      </c>
    </row>
    <row r="14" ht="19.5" customHeight="1">
      <c r="B14" s="87" t="s">
        <v>34</v>
      </c>
      <c r="C14" s="88"/>
      <c r="D14" s="90">
        <f>sum(K3:K10)</f>
        <v>591.1912073</v>
      </c>
      <c r="F14" s="57" t="s">
        <v>37</v>
      </c>
      <c r="G14" s="88"/>
      <c r="H14" s="88"/>
      <c r="I14" s="93">
        <f>sum(C3:F6)/D14</f>
        <v>0.01676300056</v>
      </c>
      <c r="J14" s="90">
        <f t="shared" ref="J14:J19" si="1">$D$14*I14</f>
        <v>9.910138539</v>
      </c>
      <c r="M14" s="9" t="s">
        <v>29</v>
      </c>
      <c r="N14" s="80">
        <v>353.0</v>
      </c>
    </row>
    <row r="15" ht="19.5" customHeight="1">
      <c r="B15" s="95"/>
      <c r="C15" s="20"/>
      <c r="D15" s="97"/>
      <c r="F15" s="9" t="s">
        <v>39</v>
      </c>
      <c r="I15" s="99">
        <f>sum(G7:J10)/D14</f>
        <v>0.1381487804</v>
      </c>
      <c r="J15" s="90">
        <f t="shared" si="1"/>
        <v>81.67234426</v>
      </c>
      <c r="M15" s="9" t="s">
        <v>30</v>
      </c>
      <c r="N15" s="19">
        <v>42.0</v>
      </c>
    </row>
    <row r="16" ht="19.5" customHeight="1">
      <c r="B16" s="9" t="s">
        <v>40</v>
      </c>
      <c r="D16" s="101">
        <f>(N12+N13+N15-N16)/(N12+N13+N15)</f>
        <v>0.8083700441</v>
      </c>
      <c r="E16" s="102"/>
      <c r="F16" s="103" t="s">
        <v>41</v>
      </c>
      <c r="G16" s="105"/>
      <c r="H16" s="105"/>
      <c r="I16" s="107">
        <f>I14+I15</f>
        <v>0.1549117809</v>
      </c>
      <c r="J16" s="90">
        <f t="shared" si="1"/>
        <v>91.5824828</v>
      </c>
      <c r="M16" s="9" t="s">
        <v>31</v>
      </c>
      <c r="N16" s="80">
        <f>83+4</f>
        <v>87</v>
      </c>
      <c r="O16" s="1" t="s">
        <v>52</v>
      </c>
      <c r="P16" s="1"/>
    </row>
    <row r="17" ht="19.5" customHeight="1">
      <c r="B17" s="9" t="s">
        <v>42</v>
      </c>
      <c r="D17" s="101"/>
      <c r="F17" s="9" t="s">
        <v>43</v>
      </c>
      <c r="I17" s="99">
        <f>sum(C7:F10)/D14</f>
        <v>0.8124742888</v>
      </c>
      <c r="J17" s="90">
        <f t="shared" si="1"/>
        <v>480.3276557</v>
      </c>
      <c r="M17" s="9" t="s">
        <v>32</v>
      </c>
      <c r="N17" s="19">
        <v>28.0</v>
      </c>
    </row>
    <row r="18" ht="19.5" customHeight="1">
      <c r="B18" s="109" t="s">
        <v>45</v>
      </c>
      <c r="C18" s="20"/>
      <c r="D18" s="101"/>
      <c r="F18" s="9" t="s">
        <v>46</v>
      </c>
      <c r="I18" s="99">
        <f>sum(G3:J6)/D14</f>
        <v>0.03261393024</v>
      </c>
      <c r="J18" s="90">
        <f t="shared" si="1"/>
        <v>19.2810688</v>
      </c>
      <c r="M18" s="112" t="s">
        <v>33</v>
      </c>
      <c r="N18" s="58">
        <v>41.0</v>
      </c>
    </row>
    <row r="19" ht="19.5" customHeight="1">
      <c r="B19" s="109" t="s">
        <v>47</v>
      </c>
      <c r="C19" s="117"/>
      <c r="D19" s="119"/>
      <c r="F19" s="103" t="s">
        <v>48</v>
      </c>
      <c r="G19" s="121"/>
      <c r="H19" s="105"/>
      <c r="I19" s="107">
        <f>I17+I18</f>
        <v>0.8450882191</v>
      </c>
      <c r="J19" s="124">
        <f t="shared" si="1"/>
        <v>499.6087245</v>
      </c>
      <c r="M19" s="112" t="s">
        <v>35</v>
      </c>
      <c r="N19" s="58">
        <v>49.0</v>
      </c>
    </row>
    <row r="20" ht="19.5" customHeight="1">
      <c r="F20" s="109" t="s">
        <v>50</v>
      </c>
      <c r="G20" s="117"/>
      <c r="H20" s="20"/>
      <c r="I20" s="127">
        <f>D14*(I17-I18)</f>
        <v>461.0465869</v>
      </c>
      <c r="J20" s="97"/>
      <c r="M20" s="9" t="s">
        <v>36</v>
      </c>
      <c r="N20" s="19">
        <v>163.0</v>
      </c>
    </row>
    <row r="21" ht="19.5" customHeight="1">
      <c r="M21" s="9" t="s">
        <v>38</v>
      </c>
      <c r="N21" s="94">
        <v>9.0</v>
      </c>
    </row>
    <row r="22" ht="19.5" customHeight="1">
      <c r="B22" s="129"/>
      <c r="C22" s="129"/>
      <c r="D22" s="92"/>
      <c r="M22" s="109" t="s">
        <v>44</v>
      </c>
      <c r="N22" s="146"/>
    </row>
    <row r="23" ht="19.5" customHeight="1">
      <c r="B23" s="133">
        <v>825.0</v>
      </c>
      <c r="C23" s="134">
        <v>2.0</v>
      </c>
      <c r="D23" s="134">
        <v>3.0</v>
      </c>
      <c r="E23" s="136" t="s">
        <v>4</v>
      </c>
      <c r="F23" s="136">
        <v>1.0</v>
      </c>
      <c r="G23" s="136" t="s">
        <v>5</v>
      </c>
      <c r="H23" s="136" t="s">
        <v>53</v>
      </c>
      <c r="I23" s="137" t="s">
        <v>9</v>
      </c>
    </row>
    <row r="24" ht="19.5" customHeight="1">
      <c r="B24" s="140">
        <v>2.0</v>
      </c>
      <c r="C24" s="142">
        <v>0.0</v>
      </c>
      <c r="D24" s="29"/>
      <c r="E24" s="31"/>
      <c r="F24" s="144">
        <f t="shared" ref="F24:G24" si="2">F30-sum(F27:F29)</f>
        <v>0.9101385392</v>
      </c>
      <c r="G24" s="144">
        <f t="shared" si="2"/>
        <v>10.26213592</v>
      </c>
      <c r="H24" s="148">
        <f t="shared" ref="H24:H26" si="3">sum(H4:J4)</f>
        <v>1.30464716</v>
      </c>
      <c r="I24" s="150">
        <f>sum(C24:H26)</f>
        <v>15.19120734</v>
      </c>
      <c r="M24" s="152" t="s">
        <v>54</v>
      </c>
      <c r="N24" s="163">
        <f>N2+N3</f>
        <v>242</v>
      </c>
    </row>
    <row r="25" ht="19.5" customHeight="1">
      <c r="B25" s="140">
        <v>3.0</v>
      </c>
      <c r="C25" s="64"/>
      <c r="E25" s="54"/>
      <c r="F25" s="157"/>
      <c r="G25" s="157"/>
      <c r="H25" s="159">
        <f t="shared" si="3"/>
        <v>2.714285714</v>
      </c>
      <c r="I25" s="54"/>
      <c r="M25" s="161" t="s">
        <v>55</v>
      </c>
      <c r="N25" s="46">
        <f>N4+N5</f>
        <v>52</v>
      </c>
    </row>
    <row r="26" ht="19.5" customHeight="1">
      <c r="B26" s="140" t="s">
        <v>4</v>
      </c>
      <c r="C26" s="65"/>
      <c r="D26" s="20"/>
      <c r="E26" s="22"/>
      <c r="F26" s="165"/>
      <c r="G26" s="165"/>
      <c r="H26" s="159">
        <f t="shared" si="3"/>
        <v>0</v>
      </c>
      <c r="I26" s="22"/>
      <c r="M26" s="161" t="s">
        <v>56</v>
      </c>
      <c r="N26" s="46">
        <f>N6+N7</f>
        <v>121</v>
      </c>
    </row>
    <row r="27" ht="19.5" customHeight="1">
      <c r="B27" s="166">
        <v>1.0</v>
      </c>
      <c r="C27" s="170">
        <f>I27-sum(G27:H27)</f>
        <v>9</v>
      </c>
      <c r="D27" s="105"/>
      <c r="E27" s="172"/>
      <c r="F27" s="174"/>
      <c r="G27" s="176">
        <f>(N17-(N15-(N16-N13)))</f>
        <v>5</v>
      </c>
      <c r="H27" s="159">
        <f>sum(H3:J3)</f>
        <v>0</v>
      </c>
      <c r="I27" s="177">
        <f>(N14-N12)+(N17-(N15-(N16-N13)))</f>
        <v>14</v>
      </c>
      <c r="M27" s="161" t="s">
        <v>57</v>
      </c>
      <c r="N27" s="46">
        <f>N8+N9</f>
        <v>72</v>
      </c>
    </row>
    <row r="28" ht="19.5" customHeight="1">
      <c r="B28" s="166" t="s">
        <v>5</v>
      </c>
      <c r="C28" s="169">
        <f>I28-sum(F28:H28)</f>
        <v>311.5008606</v>
      </c>
      <c r="D28" s="105"/>
      <c r="E28" s="172"/>
      <c r="F28" s="176">
        <f>N13</f>
        <v>68</v>
      </c>
      <c r="G28" s="174"/>
      <c r="H28" s="159">
        <f>sum(H7:J7)</f>
        <v>32.49913941</v>
      </c>
      <c r="I28" s="177">
        <f>N12+N13</f>
        <v>412</v>
      </c>
      <c r="M28" s="161" t="s">
        <v>58</v>
      </c>
      <c r="N28" s="46">
        <f>N10+N11</f>
        <v>51</v>
      </c>
    </row>
    <row r="29" ht="19.5" customHeight="1">
      <c r="B29" s="166" t="s">
        <v>53</v>
      </c>
      <c r="C29" s="179">
        <f t="shared" ref="C29:E29" si="4">sum(D8:D10)</f>
        <v>30.37795974</v>
      </c>
      <c r="D29" s="180">
        <f t="shared" si="4"/>
        <v>50.76674094</v>
      </c>
      <c r="E29" s="180">
        <f t="shared" si="4"/>
        <v>1.59223301</v>
      </c>
      <c r="F29" s="180">
        <f>sum(C8:C10)</f>
        <v>18.08986146</v>
      </c>
      <c r="G29" s="180">
        <f>sum(G8:G10)</f>
        <v>12.73786408</v>
      </c>
      <c r="H29" s="181">
        <f>sum(H8:J10)</f>
        <v>36.43534077</v>
      </c>
      <c r="I29" s="182">
        <f>sum(C29:H29)</f>
        <v>150</v>
      </c>
      <c r="M29" s="161" t="s">
        <v>59</v>
      </c>
      <c r="N29" s="46">
        <f>N18+N19</f>
        <v>90</v>
      </c>
    </row>
    <row r="30" ht="19.5" customHeight="1">
      <c r="B30" s="137" t="s">
        <v>9</v>
      </c>
      <c r="C30" s="183">
        <f>sum(C24:E29)</f>
        <v>403.2377943</v>
      </c>
      <c r="D30" s="20"/>
      <c r="E30" s="22"/>
      <c r="F30" s="97">
        <f>N16</f>
        <v>87</v>
      </c>
      <c r="G30" s="97">
        <f>N17</f>
        <v>28</v>
      </c>
      <c r="H30" s="127">
        <f>sum(H24:H29)</f>
        <v>72.95341306</v>
      </c>
      <c r="I30" s="184"/>
      <c r="M30" s="161" t="s">
        <v>60</v>
      </c>
      <c r="N30" s="46">
        <f>N14+N15</f>
        <v>395</v>
      </c>
    </row>
    <row r="31" ht="19.5" customHeight="1">
      <c r="M31" s="161" t="s">
        <v>61</v>
      </c>
      <c r="N31" s="46">
        <f>N12+N13+N17</f>
        <v>440</v>
      </c>
    </row>
    <row r="32" ht="19.5" customHeight="1">
      <c r="M32" s="185" t="s">
        <v>62</v>
      </c>
      <c r="N32" s="187">
        <f>N20+N21</f>
        <v>172</v>
      </c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>
      <c r="N39" s="167"/>
    </row>
    <row r="40" ht="19.5" customHeight="1">
      <c r="N40" s="167"/>
    </row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8">
    <mergeCell ref="D7:F7"/>
    <mergeCell ref="D3:F3"/>
    <mergeCell ref="K4:K6"/>
    <mergeCell ref="C4:C6"/>
    <mergeCell ref="G4:G6"/>
    <mergeCell ref="F15:H15"/>
    <mergeCell ref="F18:H18"/>
    <mergeCell ref="F17:H17"/>
    <mergeCell ref="F16:H16"/>
    <mergeCell ref="F14:H14"/>
    <mergeCell ref="D11:F11"/>
    <mergeCell ref="C24:E26"/>
    <mergeCell ref="C27:E27"/>
    <mergeCell ref="F24:F26"/>
    <mergeCell ref="G24:G26"/>
    <mergeCell ref="C28:E28"/>
    <mergeCell ref="C30:E30"/>
    <mergeCell ref="I24:I2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2" t="s">
        <v>2</v>
      </c>
      <c r="N1" s="3">
        <v>1125.0</v>
      </c>
    </row>
    <row r="2" ht="19.5" customHeight="1">
      <c r="B2" s="4" t="s">
        <v>3</v>
      </c>
      <c r="C2" s="6">
        <v>1.0</v>
      </c>
      <c r="D2" s="6">
        <v>2.0</v>
      </c>
      <c r="E2" s="6">
        <v>3.0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8" t="s">
        <v>9</v>
      </c>
      <c r="M2" s="9" t="s">
        <v>10</v>
      </c>
      <c r="N2" s="11">
        <v>123.0</v>
      </c>
    </row>
    <row r="3" ht="19.5" customHeight="1">
      <c r="A3" t="s">
        <v>11</v>
      </c>
      <c r="B3" s="13">
        <v>1.0</v>
      </c>
      <c r="C3" s="15"/>
      <c r="D3" s="18">
        <f>K3-sum(G3:J3)</f>
        <v>27.27027027</v>
      </c>
      <c r="E3" s="20"/>
      <c r="F3" s="22"/>
      <c r="G3" s="26">
        <f>(N17-(N15-(N16-N13)))</f>
        <v>16</v>
      </c>
      <c r="H3" s="36">
        <f>0/50*H11</f>
        <v>0</v>
      </c>
      <c r="I3" s="36">
        <f>4/20*I11</f>
        <v>4</v>
      </c>
      <c r="J3" s="39">
        <f>12/37*J11</f>
        <v>9.72972973</v>
      </c>
      <c r="K3" s="26">
        <f>(N14-N12)+(N17-(N15-(N16-N13)))</f>
        <v>57</v>
      </c>
      <c r="M3" s="9" t="s">
        <v>16</v>
      </c>
      <c r="N3" s="11">
        <v>147.0</v>
      </c>
    </row>
    <row r="4" ht="19.5" customHeight="1">
      <c r="B4" s="13">
        <v>2.0</v>
      </c>
      <c r="C4" s="43">
        <f>C11-sum(C7:C10)</f>
        <v>15.92857143</v>
      </c>
      <c r="D4" s="45"/>
      <c r="E4" s="45"/>
      <c r="F4" s="47"/>
      <c r="G4" s="49">
        <f>G11-G3-sum(G8:G10)</f>
        <v>127.6095238</v>
      </c>
      <c r="H4" s="36">
        <f>1/50*H11</f>
        <v>0.32</v>
      </c>
      <c r="I4" s="36">
        <f>2/20*I11</f>
        <v>2</v>
      </c>
      <c r="J4" s="39">
        <f>0/37*J11</f>
        <v>0</v>
      </c>
      <c r="K4" s="52">
        <f>sum(C4:J6)</f>
        <v>172.5662033</v>
      </c>
      <c r="M4" s="9" t="s">
        <v>17</v>
      </c>
      <c r="N4" s="11">
        <v>60.0</v>
      </c>
    </row>
    <row r="5" ht="19.5" customHeight="1">
      <c r="B5" s="13">
        <v>3.0</v>
      </c>
      <c r="C5" s="54"/>
      <c r="D5" s="55"/>
      <c r="E5" s="55">
        <v>0.0</v>
      </c>
      <c r="F5" s="55"/>
      <c r="G5" s="54"/>
      <c r="H5" s="36">
        <f>30/50*H11</f>
        <v>9.6</v>
      </c>
      <c r="I5" s="36">
        <f>8/20*I11</f>
        <v>8</v>
      </c>
      <c r="J5" s="39">
        <f>1/37*J11</f>
        <v>0.8108108108</v>
      </c>
      <c r="K5" s="54"/>
      <c r="M5" s="9" t="s">
        <v>18</v>
      </c>
      <c r="N5" s="11">
        <v>53.0</v>
      </c>
    </row>
    <row r="6" ht="19.5" customHeight="1">
      <c r="B6" s="13" t="s">
        <v>4</v>
      </c>
      <c r="C6" s="22"/>
      <c r="D6" s="47"/>
      <c r="E6" s="45"/>
      <c r="F6" s="45"/>
      <c r="G6" s="22"/>
      <c r="H6" s="36">
        <f>0/50*H11</f>
        <v>0</v>
      </c>
      <c r="I6" s="36">
        <f>1/20*I11</f>
        <v>1</v>
      </c>
      <c r="J6" s="39">
        <f>9/37*J11</f>
        <v>7.297297297</v>
      </c>
      <c r="K6" s="22"/>
      <c r="M6" s="9" t="s">
        <v>19</v>
      </c>
      <c r="N6" s="11">
        <v>44.0</v>
      </c>
    </row>
    <row r="7" ht="19.5" customHeight="1">
      <c r="B7" s="13" t="s">
        <v>5</v>
      </c>
      <c r="C7" s="60">
        <f>N13</f>
        <v>35</v>
      </c>
      <c r="D7" s="18">
        <f>K7-C7-sum(H7:J7)</f>
        <v>122.4594595</v>
      </c>
      <c r="E7" s="20"/>
      <c r="F7" s="22"/>
      <c r="G7" s="15"/>
      <c r="H7" s="36">
        <f>0/50*H11</f>
        <v>0</v>
      </c>
      <c r="I7" s="36">
        <f>2/20*I11</f>
        <v>2</v>
      </c>
      <c r="J7" s="39">
        <f>13/37*J11</f>
        <v>10.54054054</v>
      </c>
      <c r="K7" s="60">
        <f>N12+N13</f>
        <v>170</v>
      </c>
      <c r="M7" s="9" t="s">
        <v>20</v>
      </c>
      <c r="N7" s="11">
        <v>33.0</v>
      </c>
    </row>
    <row r="8" ht="19.5" customHeight="1">
      <c r="B8" s="13" t="s">
        <v>6</v>
      </c>
      <c r="C8" s="36">
        <f>0/15*K8</f>
        <v>0</v>
      </c>
      <c r="D8" s="36">
        <f>2/15*K8</f>
        <v>2.933333333</v>
      </c>
      <c r="E8" s="36">
        <f>7/15*K8</f>
        <v>10.26666667</v>
      </c>
      <c r="F8" s="36">
        <f>2/15*K8</f>
        <v>2.933333333</v>
      </c>
      <c r="G8" s="36">
        <f>2/15*K8</f>
        <v>2.933333333</v>
      </c>
      <c r="H8" s="15"/>
      <c r="I8" s="36">
        <f>1/15*K8</f>
        <v>1.466666667</v>
      </c>
      <c r="J8" s="39">
        <f>1/15*K8</f>
        <v>1.466666667</v>
      </c>
      <c r="K8" s="66">
        <f>N8</f>
        <v>22</v>
      </c>
      <c r="M8" s="68" t="s">
        <v>21</v>
      </c>
      <c r="N8" s="61">
        <v>22.0</v>
      </c>
    </row>
    <row r="9" ht="19.5" customHeight="1">
      <c r="B9" s="13" t="s">
        <v>7</v>
      </c>
      <c r="C9" s="36">
        <f>0/30*K9</f>
        <v>0</v>
      </c>
      <c r="D9" s="36">
        <f>1/30*K9</f>
        <v>0.7</v>
      </c>
      <c r="E9" s="36">
        <f>5/30*K9</f>
        <v>3.5</v>
      </c>
      <c r="F9" s="36">
        <f>3/30*K9</f>
        <v>2.1</v>
      </c>
      <c r="G9" s="36">
        <f>13/30*K9</f>
        <v>9.1</v>
      </c>
      <c r="H9" s="36">
        <f>7/30*K9</f>
        <v>4.9</v>
      </c>
      <c r="I9" s="72"/>
      <c r="J9" s="39">
        <f>1/30*K9</f>
        <v>0.7</v>
      </c>
      <c r="K9" s="66">
        <f>N10</f>
        <v>21</v>
      </c>
      <c r="M9" s="68" t="s">
        <v>23</v>
      </c>
      <c r="N9" s="61">
        <v>16.0</v>
      </c>
    </row>
    <row r="10" ht="19.5" customHeight="1">
      <c r="B10" s="13" t="s">
        <v>8</v>
      </c>
      <c r="C10" s="74">
        <f>4/56*K10</f>
        <v>3.071428571</v>
      </c>
      <c r="D10" s="74">
        <f>9/56*K10</f>
        <v>6.910714286</v>
      </c>
      <c r="E10" s="74">
        <f>2/56*K10</f>
        <v>1.535714286</v>
      </c>
      <c r="F10" s="74">
        <f>7/56*K10</f>
        <v>5.375</v>
      </c>
      <c r="G10" s="74">
        <f>20/56*K10</f>
        <v>15.35714286</v>
      </c>
      <c r="H10" s="74">
        <f>12/56*K10</f>
        <v>9.214285714</v>
      </c>
      <c r="I10" s="74">
        <f>2/56*K10</f>
        <v>1.535714286</v>
      </c>
      <c r="J10" s="78"/>
      <c r="K10" s="66">
        <f>N18</f>
        <v>43</v>
      </c>
      <c r="M10" s="68" t="s">
        <v>25</v>
      </c>
      <c r="N10" s="61">
        <v>21.0</v>
      </c>
    </row>
    <row r="11" ht="19.5" customHeight="1">
      <c r="B11" s="79" t="s">
        <v>9</v>
      </c>
      <c r="C11" s="60">
        <f>N16</f>
        <v>54</v>
      </c>
      <c r="D11" s="81">
        <f>sum(D3:F10)</f>
        <v>185.9844916</v>
      </c>
      <c r="E11" s="20"/>
      <c r="F11" s="22"/>
      <c r="G11" s="60">
        <f>N17</f>
        <v>171</v>
      </c>
      <c r="H11" s="66">
        <f>N9</f>
        <v>16</v>
      </c>
      <c r="I11" s="66">
        <f>N11</f>
        <v>20</v>
      </c>
      <c r="J11" s="66">
        <f>N19</f>
        <v>30</v>
      </c>
      <c r="K11" s="83">
        <f>D14</f>
        <v>485.5662033</v>
      </c>
      <c r="M11" s="68" t="s">
        <v>26</v>
      </c>
      <c r="N11" s="61">
        <v>20.0</v>
      </c>
    </row>
    <row r="12" ht="19.5" customHeight="1">
      <c r="M12" s="9" t="s">
        <v>27</v>
      </c>
      <c r="N12" s="11">
        <v>135.0</v>
      </c>
    </row>
    <row r="13" ht="19.5" customHeight="1">
      <c r="I13" s="86"/>
      <c r="J13" s="86"/>
      <c r="M13" s="9" t="s">
        <v>28</v>
      </c>
      <c r="N13" s="11">
        <v>35.0</v>
      </c>
    </row>
    <row r="14" ht="19.5" customHeight="1">
      <c r="B14" s="87" t="s">
        <v>34</v>
      </c>
      <c r="C14" s="88"/>
      <c r="D14" s="90">
        <f>sum(K3:K10)</f>
        <v>485.5662033</v>
      </c>
      <c r="F14" s="57" t="s">
        <v>37</v>
      </c>
      <c r="G14" s="88"/>
      <c r="H14" s="88"/>
      <c r="I14" s="93">
        <f>sum(C3:F6)/D14</f>
        <v>0.08896591526</v>
      </c>
      <c r="J14" s="90">
        <f t="shared" ref="J14:J19" si="1">$D$14*I14</f>
        <v>43.1988417</v>
      </c>
      <c r="M14" s="9" t="s">
        <v>29</v>
      </c>
      <c r="N14" s="11">
        <v>176.0</v>
      </c>
    </row>
    <row r="15" ht="19.5" customHeight="1">
      <c r="B15" s="95"/>
      <c r="C15" s="20"/>
      <c r="D15" s="97"/>
      <c r="F15" s="9" t="s">
        <v>39</v>
      </c>
      <c r="I15" s="99">
        <f>sum(G7:J10)/D14</f>
        <v>0.1219490765</v>
      </c>
      <c r="J15" s="90">
        <f t="shared" si="1"/>
        <v>59.21435006</v>
      </c>
      <c r="M15" s="9" t="s">
        <v>30</v>
      </c>
      <c r="N15" s="11">
        <v>174.0</v>
      </c>
    </row>
    <row r="16" ht="19.5" customHeight="1">
      <c r="B16" s="9" t="s">
        <v>40</v>
      </c>
      <c r="D16" s="101">
        <f>(N12+N13+N15-N16)/(N12+N13+N15)</f>
        <v>0.8430232558</v>
      </c>
      <c r="E16" s="102"/>
      <c r="F16" s="103" t="s">
        <v>41</v>
      </c>
      <c r="G16" s="105"/>
      <c r="H16" s="105"/>
      <c r="I16" s="107">
        <f>I14+I15</f>
        <v>0.2109149917</v>
      </c>
      <c r="J16" s="90">
        <f t="shared" si="1"/>
        <v>102.4131918</v>
      </c>
      <c r="M16" s="9" t="s">
        <v>31</v>
      </c>
      <c r="N16" s="11">
        <v>54.0</v>
      </c>
    </row>
    <row r="17" ht="19.5" customHeight="1">
      <c r="B17" s="9" t="s">
        <v>42</v>
      </c>
      <c r="D17" s="101"/>
      <c r="F17" s="9" t="s">
        <v>43</v>
      </c>
      <c r="I17" s="99">
        <f>sum(C7:F10)/D14</f>
        <v>0.4052704834</v>
      </c>
      <c r="J17" s="90">
        <f t="shared" si="1"/>
        <v>196.7856499</v>
      </c>
      <c r="M17" s="9" t="s">
        <v>32</v>
      </c>
      <c r="N17" s="11">
        <v>171.0</v>
      </c>
    </row>
    <row r="18" ht="19.5" customHeight="1">
      <c r="B18" s="109" t="s">
        <v>45</v>
      </c>
      <c r="C18" s="20"/>
      <c r="D18" s="110"/>
      <c r="F18" s="9" t="s">
        <v>46</v>
      </c>
      <c r="I18" s="99">
        <f>sum(G3:J6)/D14</f>
        <v>0.3838145249</v>
      </c>
      <c r="J18" s="90">
        <f t="shared" si="1"/>
        <v>186.3673616</v>
      </c>
      <c r="M18" s="112" t="s">
        <v>33</v>
      </c>
      <c r="N18" s="11">
        <v>43.0</v>
      </c>
    </row>
    <row r="19" ht="19.5" customHeight="1">
      <c r="B19" s="109" t="s">
        <v>47</v>
      </c>
      <c r="C19" s="117"/>
      <c r="D19" s="119"/>
      <c r="F19" s="103" t="s">
        <v>48</v>
      </c>
      <c r="G19" s="121"/>
      <c r="H19" s="105"/>
      <c r="I19" s="107">
        <f>I17+I18</f>
        <v>0.7890850083</v>
      </c>
      <c r="J19" s="124">
        <f t="shared" si="1"/>
        <v>383.1530116</v>
      </c>
      <c r="K19">
        <f>(sum(G24:G27)+sum(C28:F28))/J19</f>
        <v>0.785766976</v>
      </c>
      <c r="M19" s="112" t="s">
        <v>35</v>
      </c>
      <c r="N19" s="11">
        <v>30.0</v>
      </c>
    </row>
    <row r="20" ht="19.5" customHeight="1">
      <c r="F20" s="109" t="s">
        <v>50</v>
      </c>
      <c r="G20" s="117"/>
      <c r="H20" s="20"/>
      <c r="I20" s="127">
        <f>D14*(I17-I18)</f>
        <v>10.41828829</v>
      </c>
      <c r="J20" s="97"/>
      <c r="M20" s="9" t="s">
        <v>36</v>
      </c>
      <c r="N20" s="11">
        <v>50.0</v>
      </c>
    </row>
    <row r="21" ht="19.5" customHeight="1">
      <c r="M21" s="9" t="s">
        <v>38</v>
      </c>
      <c r="N21" s="96">
        <v>43.0</v>
      </c>
    </row>
    <row r="22" ht="19.5" customHeight="1">
      <c r="B22" s="129"/>
      <c r="C22" s="129"/>
      <c r="D22" s="92"/>
      <c r="M22" s="109" t="s">
        <v>44</v>
      </c>
      <c r="N22" s="131"/>
    </row>
    <row r="23" ht="19.5" customHeight="1">
      <c r="B23" s="133">
        <v>1125.0</v>
      </c>
      <c r="C23" s="134">
        <v>2.0</v>
      </c>
      <c r="D23" s="134">
        <v>3.0</v>
      </c>
      <c r="E23" s="136" t="s">
        <v>4</v>
      </c>
      <c r="F23" s="136">
        <v>1.0</v>
      </c>
      <c r="G23" s="136" t="s">
        <v>5</v>
      </c>
      <c r="H23" s="136" t="s">
        <v>53</v>
      </c>
      <c r="I23" s="137" t="s">
        <v>9</v>
      </c>
      <c r="N23" s="138"/>
    </row>
    <row r="24" ht="19.5" customHeight="1">
      <c r="B24" s="140">
        <v>2.0</v>
      </c>
      <c r="C24" s="142">
        <v>0.0</v>
      </c>
      <c r="D24" s="29"/>
      <c r="E24" s="31"/>
      <c r="F24" s="144">
        <f t="shared" ref="F24:G24" si="2">F30-sum(F27:F29)</f>
        <v>15.92857143</v>
      </c>
      <c r="G24" s="144">
        <f t="shared" si="2"/>
        <v>127.6095238</v>
      </c>
      <c r="H24" s="148">
        <f t="shared" ref="H24:H26" si="3">sum(H4:J4)</f>
        <v>2.32</v>
      </c>
      <c r="I24" s="150">
        <f>sum(C24:H26)</f>
        <v>172.5662033</v>
      </c>
      <c r="M24" s="152" t="s">
        <v>54</v>
      </c>
      <c r="N24" s="155">
        <f>N2+N3</f>
        <v>270</v>
      </c>
    </row>
    <row r="25" ht="19.5" customHeight="1">
      <c r="B25" s="140">
        <v>3.0</v>
      </c>
      <c r="C25" s="64"/>
      <c r="E25" s="54"/>
      <c r="F25" s="157"/>
      <c r="G25" s="157"/>
      <c r="H25" s="159">
        <f t="shared" si="3"/>
        <v>18.41081081</v>
      </c>
      <c r="I25" s="54"/>
      <c r="M25" s="161" t="s">
        <v>55</v>
      </c>
      <c r="N25" s="89">
        <f>N4+N5</f>
        <v>113</v>
      </c>
    </row>
    <row r="26" ht="19.5" customHeight="1">
      <c r="B26" s="140" t="s">
        <v>4</v>
      </c>
      <c r="C26" s="65"/>
      <c r="D26" s="20"/>
      <c r="E26" s="22"/>
      <c r="F26" s="165"/>
      <c r="G26" s="165"/>
      <c r="H26" s="159">
        <f t="shared" si="3"/>
        <v>8.297297297</v>
      </c>
      <c r="I26" s="22"/>
      <c r="M26" s="161" t="s">
        <v>56</v>
      </c>
      <c r="N26" s="89">
        <f>N6+N7</f>
        <v>77</v>
      </c>
    </row>
    <row r="27" ht="19.5" customHeight="1">
      <c r="B27" s="166">
        <v>1.0</v>
      </c>
      <c r="C27" s="169">
        <f>I27-sum(G27:H27)</f>
        <v>27.27027027</v>
      </c>
      <c r="D27" s="105"/>
      <c r="E27" s="172"/>
      <c r="F27" s="174"/>
      <c r="G27" s="176">
        <f>(N17-(N15-(N16-N13)))</f>
        <v>16</v>
      </c>
      <c r="H27" s="159">
        <f>sum(H3:J3)</f>
        <v>13.72972973</v>
      </c>
      <c r="I27" s="177">
        <f>(N14-N12)+(N17-(N15-(N16-N13)))</f>
        <v>57</v>
      </c>
      <c r="M27" s="161" t="s">
        <v>57</v>
      </c>
      <c r="N27" s="89">
        <f>N8+N9</f>
        <v>38</v>
      </c>
    </row>
    <row r="28" ht="19.5" customHeight="1">
      <c r="B28" s="166" t="s">
        <v>5</v>
      </c>
      <c r="C28" s="169">
        <f>I28-sum(F28:H28)</f>
        <v>122.4594595</v>
      </c>
      <c r="D28" s="105"/>
      <c r="E28" s="172"/>
      <c r="F28" s="176">
        <f>N13</f>
        <v>35</v>
      </c>
      <c r="G28" s="174"/>
      <c r="H28" s="159">
        <f>sum(H7:J7)</f>
        <v>12.54054054</v>
      </c>
      <c r="I28" s="177">
        <f>N12+N13</f>
        <v>170</v>
      </c>
      <c r="M28" s="161" t="s">
        <v>58</v>
      </c>
      <c r="N28" s="89">
        <f>N10+N11</f>
        <v>41</v>
      </c>
    </row>
    <row r="29" ht="19.5" customHeight="1">
      <c r="B29" s="166" t="s">
        <v>53</v>
      </c>
      <c r="C29" s="179">
        <f t="shared" ref="C29:E29" si="4">sum(D8:D10)</f>
        <v>10.54404762</v>
      </c>
      <c r="D29" s="180">
        <f t="shared" si="4"/>
        <v>15.30238095</v>
      </c>
      <c r="E29" s="180">
        <f t="shared" si="4"/>
        <v>10.40833333</v>
      </c>
      <c r="F29" s="180">
        <f>sum(C8:C10)</f>
        <v>3.071428571</v>
      </c>
      <c r="G29" s="180">
        <f>sum(G8:G10)</f>
        <v>27.39047619</v>
      </c>
      <c r="H29" s="181">
        <f>sum(H8:J10)</f>
        <v>19.28333333</v>
      </c>
      <c r="I29" s="182">
        <f>sum(C29:H29)</f>
        <v>86</v>
      </c>
      <c r="M29" s="161" t="s">
        <v>59</v>
      </c>
      <c r="N29" s="89">
        <f>N18+N19</f>
        <v>73</v>
      </c>
    </row>
    <row r="30" ht="19.5" customHeight="1">
      <c r="B30" s="137" t="s">
        <v>9</v>
      </c>
      <c r="C30" s="183">
        <f>sum(C24:E29)</f>
        <v>185.9844916</v>
      </c>
      <c r="D30" s="20"/>
      <c r="E30" s="22"/>
      <c r="F30" s="97">
        <f>N16</f>
        <v>54</v>
      </c>
      <c r="G30" s="97">
        <f>N17</f>
        <v>171</v>
      </c>
      <c r="H30" s="127">
        <f>sum(H24:H29)</f>
        <v>74.58171171</v>
      </c>
      <c r="I30" s="184"/>
      <c r="M30" s="161" t="s">
        <v>60</v>
      </c>
      <c r="N30" s="89">
        <f>N14+N15</f>
        <v>350</v>
      </c>
    </row>
    <row r="31" ht="19.5" customHeight="1">
      <c r="M31" s="161" t="s">
        <v>61</v>
      </c>
      <c r="N31" s="89">
        <f>N12+N13+N17</f>
        <v>341</v>
      </c>
    </row>
    <row r="32" ht="19.5" customHeight="1">
      <c r="M32" s="185" t="s">
        <v>62</v>
      </c>
      <c r="N32" s="188">
        <f>N20+N21</f>
        <v>93</v>
      </c>
    </row>
    <row r="33" ht="19.5" customHeight="1">
      <c r="N33" s="138"/>
    </row>
    <row r="34" ht="19.5" customHeight="1">
      <c r="N34" s="138"/>
    </row>
    <row r="35" ht="19.5" customHeight="1">
      <c r="N35" s="138"/>
    </row>
    <row r="36" ht="19.5" customHeight="1">
      <c r="N36" s="138"/>
    </row>
    <row r="37" ht="19.5" customHeight="1">
      <c r="N37" s="138"/>
    </row>
    <row r="38" ht="19.5" customHeight="1">
      <c r="N38" s="138"/>
    </row>
    <row r="39" ht="19.5" customHeight="1">
      <c r="N39" s="138"/>
    </row>
    <row r="40" ht="19.5" customHeight="1">
      <c r="N40" s="138"/>
    </row>
    <row r="41" ht="19.5" customHeight="1">
      <c r="N41" s="138"/>
    </row>
    <row r="42" ht="19.5" customHeight="1">
      <c r="N42" s="138"/>
    </row>
    <row r="43" ht="19.5" customHeight="1">
      <c r="N43" s="138"/>
    </row>
    <row r="44" ht="19.5" customHeight="1">
      <c r="N44" s="138"/>
    </row>
    <row r="45" ht="19.5" customHeight="1">
      <c r="N45" s="138"/>
    </row>
    <row r="46" ht="19.5" customHeight="1">
      <c r="N46" s="138"/>
    </row>
    <row r="47" ht="19.5" customHeight="1">
      <c r="N47" s="138"/>
    </row>
    <row r="48" ht="19.5" customHeight="1">
      <c r="N48" s="138"/>
    </row>
    <row r="49" ht="19.5" customHeight="1">
      <c r="N49" s="190"/>
    </row>
    <row r="50" ht="19.5" customHeight="1">
      <c r="N50" s="190"/>
    </row>
    <row r="51" ht="19.5" customHeight="1">
      <c r="N51" s="190"/>
    </row>
    <row r="52" ht="19.5" customHeight="1">
      <c r="N52" s="190"/>
    </row>
    <row r="53" ht="19.5" customHeight="1">
      <c r="N53" s="190"/>
    </row>
    <row r="54" ht="19.5" customHeight="1">
      <c r="N54" s="190"/>
    </row>
    <row r="55" ht="19.5" customHeight="1">
      <c r="N55" s="190"/>
    </row>
    <row r="56" ht="19.5" customHeight="1">
      <c r="N56" s="190"/>
    </row>
    <row r="57" ht="19.5" customHeight="1">
      <c r="N57" s="190"/>
    </row>
    <row r="58" ht="19.5" customHeight="1">
      <c r="N58" s="190"/>
    </row>
    <row r="59" ht="19.5" customHeight="1">
      <c r="N59" s="190"/>
    </row>
    <row r="60" ht="19.5" customHeight="1">
      <c r="N60" s="190"/>
    </row>
    <row r="61" ht="19.5" customHeight="1">
      <c r="N61" s="190"/>
    </row>
    <row r="62" ht="19.5" customHeight="1">
      <c r="N62" s="190"/>
    </row>
    <row r="63" ht="19.5" customHeight="1">
      <c r="N63" s="190"/>
    </row>
    <row r="64" ht="19.5" customHeight="1">
      <c r="N64" s="190"/>
    </row>
    <row r="65" ht="19.5" customHeight="1">
      <c r="N65" s="190"/>
    </row>
    <row r="66" ht="19.5" customHeight="1">
      <c r="N66" s="190"/>
    </row>
    <row r="67" ht="19.5" customHeight="1">
      <c r="N67" s="190"/>
    </row>
    <row r="68" ht="19.5" customHeight="1">
      <c r="N68" s="190"/>
    </row>
    <row r="69" ht="19.5" customHeight="1">
      <c r="N69" s="190"/>
    </row>
    <row r="70" ht="19.5" customHeight="1">
      <c r="N70" s="190"/>
    </row>
    <row r="71" ht="19.5" customHeight="1">
      <c r="N71" s="190"/>
    </row>
    <row r="72" ht="19.5" customHeight="1">
      <c r="N72" s="190"/>
    </row>
    <row r="73" ht="19.5" customHeight="1">
      <c r="N73" s="190"/>
    </row>
    <row r="74" ht="19.5" customHeight="1">
      <c r="N74" s="190"/>
    </row>
    <row r="75" ht="19.5" customHeight="1">
      <c r="N75" s="190"/>
    </row>
    <row r="76" ht="19.5" customHeight="1">
      <c r="N76" s="190"/>
    </row>
    <row r="77" ht="19.5" customHeight="1">
      <c r="N77" s="190"/>
    </row>
    <row r="78" ht="19.5" customHeight="1">
      <c r="N78" s="190"/>
    </row>
    <row r="79" ht="19.5" customHeight="1">
      <c r="N79" s="190"/>
    </row>
    <row r="80" ht="19.5" customHeight="1">
      <c r="N80" s="190"/>
    </row>
    <row r="81" ht="19.5" customHeight="1">
      <c r="N81" s="190"/>
    </row>
    <row r="82" ht="19.5" customHeight="1">
      <c r="N82" s="190"/>
    </row>
    <row r="83" ht="19.5" customHeight="1">
      <c r="N83" s="190"/>
    </row>
    <row r="84" ht="19.5" customHeight="1">
      <c r="N84" s="190"/>
    </row>
    <row r="85" ht="19.5" customHeight="1">
      <c r="N85" s="190"/>
    </row>
    <row r="86" ht="19.5" customHeight="1">
      <c r="N86" s="190"/>
    </row>
    <row r="87" ht="19.5" customHeight="1">
      <c r="N87" s="190"/>
    </row>
    <row r="88" ht="19.5" customHeight="1">
      <c r="N88" s="190"/>
    </row>
    <row r="89" ht="19.5" customHeight="1">
      <c r="N89" s="190"/>
    </row>
    <row r="90" ht="19.5" customHeight="1">
      <c r="N90" s="190"/>
    </row>
    <row r="91" ht="19.5" customHeight="1">
      <c r="N91" s="190"/>
    </row>
    <row r="92" ht="19.5" customHeight="1">
      <c r="N92" s="190"/>
    </row>
    <row r="93" ht="19.5" customHeight="1">
      <c r="N93" s="190"/>
    </row>
    <row r="94" ht="19.5" customHeight="1">
      <c r="N94" s="190"/>
    </row>
    <row r="95" ht="19.5" customHeight="1">
      <c r="N95" s="190"/>
    </row>
    <row r="96" ht="19.5" customHeight="1">
      <c r="N96" s="190"/>
    </row>
    <row r="97" ht="19.5" customHeight="1">
      <c r="N97" s="190"/>
    </row>
    <row r="98" ht="19.5" customHeight="1">
      <c r="N98" s="190"/>
    </row>
    <row r="99" ht="19.5" customHeight="1">
      <c r="N99" s="190"/>
    </row>
    <row r="100" ht="19.5" customHeight="1">
      <c r="N100" s="190"/>
    </row>
    <row r="101" ht="19.5" customHeight="1">
      <c r="N101" s="190"/>
    </row>
    <row r="102" ht="19.5" customHeight="1">
      <c r="N102" s="190"/>
    </row>
    <row r="103" ht="19.5" customHeight="1">
      <c r="N103" s="190"/>
    </row>
    <row r="104" ht="19.5" customHeight="1">
      <c r="N104" s="190"/>
    </row>
    <row r="105" ht="19.5" customHeight="1">
      <c r="N105" s="190"/>
    </row>
    <row r="106" ht="19.5" customHeight="1">
      <c r="N106" s="190"/>
    </row>
    <row r="107" ht="19.5" customHeight="1">
      <c r="N107" s="190"/>
    </row>
    <row r="108" ht="19.5" customHeight="1">
      <c r="N108" s="190"/>
    </row>
    <row r="109" ht="19.5" customHeight="1">
      <c r="N109" s="190"/>
    </row>
    <row r="110" ht="19.5" customHeight="1">
      <c r="N110" s="190"/>
    </row>
    <row r="111" ht="19.5" customHeight="1">
      <c r="N111" s="190"/>
    </row>
    <row r="112" ht="19.5" customHeight="1">
      <c r="N112" s="190"/>
    </row>
    <row r="113" ht="19.5" customHeight="1">
      <c r="N113" s="190"/>
    </row>
    <row r="114" ht="19.5" customHeight="1">
      <c r="N114" s="190"/>
    </row>
    <row r="115" ht="19.5" customHeight="1">
      <c r="N115" s="190"/>
    </row>
    <row r="116" ht="19.5" customHeight="1">
      <c r="N116" s="190"/>
    </row>
    <row r="117" ht="19.5" customHeight="1">
      <c r="N117" s="190"/>
    </row>
    <row r="118" ht="19.5" customHeight="1">
      <c r="N118" s="190"/>
    </row>
    <row r="119" ht="19.5" customHeight="1">
      <c r="N119" s="190"/>
    </row>
    <row r="120" ht="19.5" customHeight="1">
      <c r="N120" s="190"/>
    </row>
    <row r="121" ht="19.5" customHeight="1">
      <c r="N121" s="190"/>
    </row>
    <row r="122" ht="19.5" customHeight="1">
      <c r="N122" s="190"/>
    </row>
    <row r="123" ht="19.5" customHeight="1">
      <c r="N123" s="190"/>
    </row>
    <row r="124" ht="19.5" customHeight="1">
      <c r="N124" s="190"/>
    </row>
    <row r="125" ht="19.5" customHeight="1">
      <c r="N125" s="190"/>
    </row>
    <row r="126" ht="19.5" customHeight="1">
      <c r="N126" s="190"/>
    </row>
    <row r="127" ht="19.5" customHeight="1">
      <c r="N127" s="190"/>
    </row>
    <row r="128" ht="19.5" customHeight="1">
      <c r="N128" s="190"/>
    </row>
    <row r="129" ht="19.5" customHeight="1">
      <c r="N129" s="190"/>
    </row>
    <row r="130" ht="19.5" customHeight="1">
      <c r="N130" s="190"/>
    </row>
    <row r="131" ht="19.5" customHeight="1">
      <c r="N131" s="190"/>
    </row>
    <row r="132" ht="19.5" customHeight="1">
      <c r="N132" s="190"/>
    </row>
    <row r="133" ht="19.5" customHeight="1">
      <c r="N133" s="190"/>
    </row>
    <row r="134" ht="19.5" customHeight="1">
      <c r="N134" s="190"/>
    </row>
    <row r="135" ht="19.5" customHeight="1">
      <c r="N135" s="190"/>
    </row>
    <row r="136" ht="19.5" customHeight="1">
      <c r="N136" s="190"/>
    </row>
    <row r="137" ht="19.5" customHeight="1">
      <c r="N137" s="190"/>
    </row>
    <row r="138" ht="19.5" customHeight="1">
      <c r="N138" s="190"/>
    </row>
    <row r="139" ht="19.5" customHeight="1">
      <c r="N139" s="190"/>
    </row>
    <row r="140" ht="19.5" customHeight="1">
      <c r="N140" s="190"/>
    </row>
    <row r="141" ht="19.5" customHeight="1">
      <c r="N141" s="190"/>
    </row>
    <row r="142" ht="19.5" customHeight="1">
      <c r="N142" s="190"/>
    </row>
    <row r="143" ht="19.5" customHeight="1">
      <c r="N143" s="190"/>
    </row>
    <row r="144" ht="19.5" customHeight="1">
      <c r="N144" s="190"/>
    </row>
    <row r="145" ht="19.5" customHeight="1">
      <c r="N145" s="190"/>
    </row>
    <row r="146" ht="19.5" customHeight="1">
      <c r="N146" s="190"/>
    </row>
    <row r="147" ht="19.5" customHeight="1">
      <c r="N147" s="190"/>
    </row>
    <row r="148" ht="19.5" customHeight="1">
      <c r="N148" s="190"/>
    </row>
    <row r="149" ht="19.5" customHeight="1">
      <c r="N149" s="190"/>
    </row>
    <row r="150" ht="19.5" customHeight="1">
      <c r="N150" s="190"/>
    </row>
    <row r="151" ht="19.5" customHeight="1">
      <c r="N151" s="190"/>
    </row>
    <row r="152" ht="19.5" customHeight="1">
      <c r="N152" s="190"/>
    </row>
    <row r="153" ht="19.5" customHeight="1">
      <c r="N153" s="190"/>
    </row>
    <row r="154" ht="19.5" customHeight="1">
      <c r="N154" s="190"/>
    </row>
    <row r="155" ht="19.5" customHeight="1">
      <c r="N155" s="190"/>
    </row>
    <row r="156" ht="19.5" customHeight="1">
      <c r="N156" s="190"/>
    </row>
    <row r="157" ht="19.5" customHeight="1">
      <c r="N157" s="190"/>
    </row>
    <row r="158" ht="19.5" customHeight="1">
      <c r="N158" s="190"/>
    </row>
    <row r="159" ht="19.5" customHeight="1">
      <c r="N159" s="190"/>
    </row>
    <row r="160" ht="19.5" customHeight="1">
      <c r="N160" s="190"/>
    </row>
    <row r="161" ht="19.5" customHeight="1">
      <c r="N161" s="190"/>
    </row>
    <row r="162" ht="19.5" customHeight="1">
      <c r="N162" s="190"/>
    </row>
    <row r="163" ht="19.5" customHeight="1">
      <c r="N163" s="190"/>
    </row>
    <row r="164" ht="19.5" customHeight="1">
      <c r="N164" s="190"/>
    </row>
    <row r="165" ht="19.5" customHeight="1">
      <c r="N165" s="190"/>
    </row>
    <row r="166" ht="19.5" customHeight="1">
      <c r="N166" s="190"/>
    </row>
    <row r="167" ht="19.5" customHeight="1">
      <c r="N167" s="190"/>
    </row>
    <row r="168" ht="19.5" customHeight="1">
      <c r="N168" s="190"/>
    </row>
    <row r="169" ht="19.5" customHeight="1">
      <c r="N169" s="190"/>
    </row>
    <row r="170" ht="19.5" customHeight="1">
      <c r="N170" s="190"/>
    </row>
    <row r="171" ht="19.5" customHeight="1">
      <c r="N171" s="190"/>
    </row>
    <row r="172" ht="19.5" customHeight="1">
      <c r="N172" s="190"/>
    </row>
    <row r="173" ht="19.5" customHeight="1">
      <c r="N173" s="190"/>
    </row>
    <row r="174" ht="19.5" customHeight="1">
      <c r="N174" s="190"/>
    </row>
    <row r="175" ht="19.5" customHeight="1">
      <c r="N175" s="190"/>
    </row>
    <row r="176" ht="19.5" customHeight="1">
      <c r="N176" s="190"/>
    </row>
    <row r="177" ht="19.5" customHeight="1">
      <c r="N177" s="190"/>
    </row>
    <row r="178" ht="19.5" customHeight="1">
      <c r="N178" s="190"/>
    </row>
    <row r="179" ht="19.5" customHeight="1">
      <c r="N179" s="190"/>
    </row>
    <row r="180" ht="19.5" customHeight="1">
      <c r="N180" s="190"/>
    </row>
    <row r="181" ht="19.5" customHeight="1">
      <c r="N181" s="190"/>
    </row>
    <row r="182" ht="19.5" customHeight="1">
      <c r="N182" s="190"/>
    </row>
    <row r="183" ht="19.5" customHeight="1">
      <c r="N183" s="190"/>
    </row>
    <row r="184" ht="19.5" customHeight="1">
      <c r="N184" s="190"/>
    </row>
    <row r="185" ht="19.5" customHeight="1">
      <c r="N185" s="190"/>
    </row>
    <row r="186" ht="19.5" customHeight="1">
      <c r="N186" s="190"/>
    </row>
    <row r="187" ht="19.5" customHeight="1">
      <c r="N187" s="190"/>
    </row>
    <row r="188" ht="19.5" customHeight="1">
      <c r="N188" s="190"/>
    </row>
    <row r="189" ht="19.5" customHeight="1">
      <c r="N189" s="190"/>
    </row>
    <row r="190" ht="19.5" customHeight="1">
      <c r="N190" s="190"/>
    </row>
    <row r="191" ht="19.5" customHeight="1">
      <c r="N191" s="190"/>
    </row>
    <row r="192" ht="19.5" customHeight="1">
      <c r="N192" s="190"/>
    </row>
    <row r="193" ht="19.5" customHeight="1">
      <c r="N193" s="190"/>
    </row>
    <row r="194" ht="19.5" customHeight="1">
      <c r="N194" s="190"/>
    </row>
    <row r="195" ht="19.5" customHeight="1">
      <c r="N195" s="190"/>
    </row>
    <row r="196" ht="19.5" customHeight="1">
      <c r="N196" s="190"/>
    </row>
    <row r="197" ht="19.5" customHeight="1">
      <c r="N197" s="190"/>
    </row>
    <row r="198" ht="19.5" customHeight="1">
      <c r="N198" s="190"/>
    </row>
    <row r="199" ht="19.5" customHeight="1">
      <c r="N199" s="190"/>
    </row>
    <row r="200" ht="19.5" customHeight="1">
      <c r="N200" s="190"/>
    </row>
    <row r="201" ht="19.5" customHeight="1">
      <c r="N201" s="190"/>
    </row>
    <row r="202" ht="19.5" customHeight="1">
      <c r="N202" s="190"/>
    </row>
    <row r="203" ht="19.5" customHeight="1">
      <c r="N203" s="190"/>
    </row>
    <row r="204" ht="19.5" customHeight="1">
      <c r="N204" s="190"/>
    </row>
    <row r="205" ht="19.5" customHeight="1">
      <c r="N205" s="190"/>
    </row>
    <row r="206" ht="19.5" customHeight="1">
      <c r="N206" s="190"/>
    </row>
    <row r="207" ht="19.5" customHeight="1">
      <c r="N207" s="190"/>
    </row>
    <row r="208" ht="19.5" customHeight="1">
      <c r="N208" s="190"/>
    </row>
    <row r="209" ht="19.5" customHeight="1">
      <c r="N209" s="190"/>
    </row>
    <row r="210" ht="19.5" customHeight="1">
      <c r="N210" s="190"/>
    </row>
    <row r="211" ht="19.5" customHeight="1">
      <c r="N211" s="190"/>
    </row>
    <row r="212" ht="19.5" customHeight="1">
      <c r="N212" s="190"/>
    </row>
    <row r="213" ht="19.5" customHeight="1">
      <c r="N213" s="190"/>
    </row>
    <row r="214" ht="19.5" customHeight="1">
      <c r="N214" s="190"/>
    </row>
    <row r="215" ht="19.5" customHeight="1">
      <c r="N215" s="190"/>
    </row>
    <row r="216" ht="19.5" customHeight="1">
      <c r="N216" s="190"/>
    </row>
    <row r="217" ht="19.5" customHeight="1">
      <c r="N217" s="190"/>
    </row>
    <row r="218" ht="19.5" customHeight="1">
      <c r="N218" s="190"/>
    </row>
    <row r="219" ht="19.5" customHeight="1">
      <c r="N219" s="190"/>
    </row>
    <row r="220" ht="19.5" customHeight="1">
      <c r="N220" s="190"/>
    </row>
    <row r="221" ht="19.5" customHeight="1">
      <c r="N221" s="190"/>
    </row>
    <row r="222" ht="19.5" customHeight="1">
      <c r="N222" s="190"/>
    </row>
    <row r="223" ht="19.5" customHeight="1">
      <c r="N223" s="190"/>
    </row>
    <row r="224" ht="19.5" customHeight="1">
      <c r="N224" s="190"/>
    </row>
    <row r="225" ht="19.5" customHeight="1">
      <c r="N225" s="190"/>
    </row>
    <row r="226" ht="19.5" customHeight="1">
      <c r="N226" s="190"/>
    </row>
    <row r="227" ht="19.5" customHeight="1">
      <c r="N227" s="190"/>
    </row>
    <row r="228" ht="19.5" customHeight="1">
      <c r="N228" s="190"/>
    </row>
    <row r="229" ht="19.5" customHeight="1">
      <c r="N229" s="190"/>
    </row>
    <row r="230" ht="19.5" customHeight="1">
      <c r="N230" s="190"/>
    </row>
    <row r="231" ht="19.5" customHeight="1">
      <c r="N231" s="190"/>
    </row>
    <row r="232" ht="19.5" customHeight="1">
      <c r="N232" s="190"/>
    </row>
    <row r="233" ht="19.5" customHeight="1">
      <c r="N233" s="190"/>
    </row>
    <row r="234" ht="19.5" customHeight="1">
      <c r="N234" s="190"/>
    </row>
    <row r="235" ht="19.5" customHeight="1">
      <c r="N235" s="190"/>
    </row>
    <row r="236" ht="19.5" customHeight="1">
      <c r="N236" s="190"/>
    </row>
    <row r="237" ht="19.5" customHeight="1">
      <c r="N237" s="190"/>
    </row>
    <row r="238" ht="19.5" customHeight="1">
      <c r="N238" s="190"/>
    </row>
    <row r="239" ht="19.5" customHeight="1">
      <c r="N239" s="190"/>
    </row>
    <row r="240" ht="19.5" customHeight="1">
      <c r="N240" s="190"/>
    </row>
    <row r="241" ht="19.5" customHeight="1">
      <c r="N241" s="190"/>
    </row>
    <row r="242" ht="19.5" customHeight="1">
      <c r="N242" s="190"/>
    </row>
    <row r="243" ht="19.5" customHeight="1">
      <c r="N243" s="190"/>
    </row>
    <row r="244" ht="19.5" customHeight="1">
      <c r="N244" s="190"/>
    </row>
    <row r="245" ht="19.5" customHeight="1">
      <c r="N245" s="190"/>
    </row>
    <row r="246" ht="19.5" customHeight="1">
      <c r="N246" s="190"/>
    </row>
    <row r="247" ht="19.5" customHeight="1">
      <c r="N247" s="190"/>
    </row>
    <row r="248" ht="19.5" customHeight="1">
      <c r="N248" s="190"/>
    </row>
    <row r="249" ht="19.5" customHeight="1">
      <c r="N249" s="190"/>
    </row>
    <row r="250" ht="19.5" customHeight="1">
      <c r="N250" s="190"/>
    </row>
    <row r="251" ht="19.5" customHeight="1">
      <c r="N251" s="190"/>
    </row>
    <row r="252" ht="19.5" customHeight="1">
      <c r="N252" s="190"/>
    </row>
    <row r="253" ht="19.5" customHeight="1">
      <c r="N253" s="190"/>
    </row>
    <row r="254" ht="19.5" customHeight="1">
      <c r="N254" s="190"/>
    </row>
    <row r="255" ht="19.5" customHeight="1">
      <c r="N255" s="190"/>
    </row>
    <row r="256" ht="19.5" customHeight="1">
      <c r="N256" s="190"/>
    </row>
    <row r="257" ht="19.5" customHeight="1">
      <c r="N257" s="190"/>
    </row>
    <row r="258" ht="19.5" customHeight="1">
      <c r="N258" s="190"/>
    </row>
    <row r="259" ht="19.5" customHeight="1">
      <c r="N259" s="190"/>
    </row>
    <row r="260" ht="19.5" customHeight="1">
      <c r="N260" s="190"/>
    </row>
    <row r="261" ht="19.5" customHeight="1">
      <c r="N261" s="190"/>
    </row>
    <row r="262" ht="19.5" customHeight="1">
      <c r="N262" s="190"/>
    </row>
    <row r="263" ht="19.5" customHeight="1">
      <c r="N263" s="190"/>
    </row>
    <row r="264" ht="19.5" customHeight="1">
      <c r="N264" s="190"/>
    </row>
    <row r="265" ht="19.5" customHeight="1">
      <c r="N265" s="190"/>
    </row>
    <row r="266" ht="19.5" customHeight="1">
      <c r="N266" s="190"/>
    </row>
    <row r="267" ht="19.5" customHeight="1">
      <c r="N267" s="190"/>
    </row>
    <row r="268" ht="19.5" customHeight="1">
      <c r="N268" s="190"/>
    </row>
    <row r="269" ht="19.5" customHeight="1">
      <c r="N269" s="190"/>
    </row>
    <row r="270" ht="19.5" customHeight="1">
      <c r="N270" s="190"/>
    </row>
    <row r="271" ht="19.5" customHeight="1">
      <c r="N271" s="190"/>
    </row>
    <row r="272" ht="19.5" customHeight="1">
      <c r="N272" s="190"/>
    </row>
    <row r="273" ht="19.5" customHeight="1">
      <c r="N273" s="190"/>
    </row>
    <row r="274" ht="19.5" customHeight="1">
      <c r="N274" s="190"/>
    </row>
    <row r="275" ht="19.5" customHeight="1">
      <c r="N275" s="190"/>
    </row>
    <row r="276" ht="19.5" customHeight="1">
      <c r="N276" s="190"/>
    </row>
    <row r="277" ht="19.5" customHeight="1">
      <c r="N277" s="190"/>
    </row>
    <row r="278" ht="19.5" customHeight="1">
      <c r="N278" s="190"/>
    </row>
    <row r="279" ht="19.5" customHeight="1">
      <c r="N279" s="190"/>
    </row>
    <row r="280" ht="19.5" customHeight="1">
      <c r="N280" s="190"/>
    </row>
    <row r="281" ht="19.5" customHeight="1">
      <c r="N281" s="190"/>
    </row>
    <row r="282" ht="19.5" customHeight="1">
      <c r="N282" s="190"/>
    </row>
    <row r="283" ht="19.5" customHeight="1">
      <c r="N283" s="190"/>
    </row>
    <row r="284" ht="19.5" customHeight="1">
      <c r="N284" s="190"/>
    </row>
    <row r="285" ht="19.5" customHeight="1">
      <c r="N285" s="190"/>
    </row>
    <row r="286" ht="19.5" customHeight="1">
      <c r="N286" s="190"/>
    </row>
    <row r="287" ht="19.5" customHeight="1">
      <c r="N287" s="190"/>
    </row>
    <row r="288" ht="19.5" customHeight="1">
      <c r="N288" s="190"/>
    </row>
    <row r="289" ht="19.5" customHeight="1">
      <c r="N289" s="190"/>
    </row>
    <row r="290" ht="19.5" customHeight="1">
      <c r="N290" s="190"/>
    </row>
    <row r="291" ht="19.5" customHeight="1">
      <c r="N291" s="190"/>
    </row>
    <row r="292" ht="19.5" customHeight="1">
      <c r="N292" s="190"/>
    </row>
    <row r="293" ht="19.5" customHeight="1">
      <c r="N293" s="190"/>
    </row>
    <row r="294" ht="19.5" customHeight="1">
      <c r="N294" s="190"/>
    </row>
    <row r="295" ht="19.5" customHeight="1">
      <c r="N295" s="190"/>
    </row>
    <row r="296" ht="19.5" customHeight="1">
      <c r="N296" s="190"/>
    </row>
    <row r="297" ht="19.5" customHeight="1">
      <c r="N297" s="190"/>
    </row>
    <row r="298" ht="19.5" customHeight="1">
      <c r="N298" s="190"/>
    </row>
    <row r="299" ht="19.5" customHeight="1">
      <c r="N299" s="190"/>
    </row>
    <row r="300" ht="19.5" customHeight="1">
      <c r="N300" s="190"/>
    </row>
    <row r="301" ht="19.5" customHeight="1">
      <c r="N301" s="190"/>
    </row>
    <row r="302" ht="19.5" customHeight="1">
      <c r="N302" s="190"/>
    </row>
    <row r="303" ht="19.5" customHeight="1">
      <c r="N303" s="190"/>
    </row>
    <row r="304" ht="19.5" customHeight="1">
      <c r="N304" s="190"/>
    </row>
    <row r="305" ht="19.5" customHeight="1">
      <c r="N305" s="190"/>
    </row>
    <row r="306" ht="19.5" customHeight="1">
      <c r="N306" s="190"/>
    </row>
    <row r="307" ht="19.5" customHeight="1">
      <c r="N307" s="190"/>
    </row>
    <row r="308" ht="19.5" customHeight="1">
      <c r="N308" s="190"/>
    </row>
    <row r="309" ht="19.5" customHeight="1">
      <c r="N309" s="190"/>
    </row>
    <row r="310" ht="19.5" customHeight="1">
      <c r="N310" s="190"/>
    </row>
    <row r="311" ht="19.5" customHeight="1">
      <c r="N311" s="190"/>
    </row>
    <row r="312" ht="19.5" customHeight="1">
      <c r="N312" s="190"/>
    </row>
    <row r="313" ht="19.5" customHeight="1">
      <c r="N313" s="190"/>
    </row>
    <row r="314" ht="19.5" customHeight="1">
      <c r="N314" s="190"/>
    </row>
    <row r="315" ht="19.5" customHeight="1">
      <c r="N315" s="190"/>
    </row>
    <row r="316" ht="19.5" customHeight="1">
      <c r="N316" s="190"/>
    </row>
    <row r="317" ht="19.5" customHeight="1">
      <c r="N317" s="190"/>
    </row>
    <row r="318" ht="19.5" customHeight="1">
      <c r="N318" s="190"/>
    </row>
    <row r="319" ht="19.5" customHeight="1">
      <c r="N319" s="190"/>
    </row>
    <row r="320" ht="19.5" customHeight="1">
      <c r="N320" s="190"/>
    </row>
    <row r="321" ht="19.5" customHeight="1">
      <c r="N321" s="190"/>
    </row>
    <row r="322" ht="19.5" customHeight="1">
      <c r="N322" s="190"/>
    </row>
    <row r="323" ht="19.5" customHeight="1">
      <c r="N323" s="190"/>
    </row>
    <row r="324" ht="19.5" customHeight="1">
      <c r="N324" s="190"/>
    </row>
    <row r="325" ht="19.5" customHeight="1">
      <c r="N325" s="190"/>
    </row>
    <row r="326" ht="19.5" customHeight="1">
      <c r="N326" s="190"/>
    </row>
    <row r="327" ht="19.5" customHeight="1">
      <c r="N327" s="190"/>
    </row>
    <row r="328" ht="19.5" customHeight="1">
      <c r="N328" s="190"/>
    </row>
    <row r="329" ht="19.5" customHeight="1">
      <c r="N329" s="190"/>
    </row>
    <row r="330" ht="19.5" customHeight="1">
      <c r="N330" s="190"/>
    </row>
    <row r="331" ht="19.5" customHeight="1">
      <c r="N331" s="190"/>
    </row>
    <row r="332" ht="19.5" customHeight="1">
      <c r="N332" s="190"/>
    </row>
    <row r="333" ht="19.5" customHeight="1">
      <c r="N333" s="190"/>
    </row>
    <row r="334" ht="19.5" customHeight="1">
      <c r="N334" s="190"/>
    </row>
    <row r="335" ht="19.5" customHeight="1">
      <c r="N335" s="190"/>
    </row>
    <row r="336" ht="19.5" customHeight="1">
      <c r="N336" s="190"/>
    </row>
    <row r="337" ht="19.5" customHeight="1">
      <c r="N337" s="190"/>
    </row>
    <row r="338" ht="19.5" customHeight="1">
      <c r="N338" s="190"/>
    </row>
    <row r="339" ht="19.5" customHeight="1">
      <c r="N339" s="190"/>
    </row>
    <row r="340" ht="19.5" customHeight="1">
      <c r="N340" s="190"/>
    </row>
    <row r="341" ht="19.5" customHeight="1">
      <c r="N341" s="190"/>
    </row>
    <row r="342" ht="19.5" customHeight="1">
      <c r="N342" s="190"/>
    </row>
    <row r="343" ht="19.5" customHeight="1">
      <c r="N343" s="190"/>
    </row>
    <row r="344" ht="19.5" customHeight="1">
      <c r="N344" s="190"/>
    </row>
    <row r="345" ht="19.5" customHeight="1">
      <c r="N345" s="190"/>
    </row>
    <row r="346" ht="19.5" customHeight="1">
      <c r="N346" s="190"/>
    </row>
    <row r="347" ht="19.5" customHeight="1">
      <c r="N347" s="190"/>
    </row>
    <row r="348" ht="19.5" customHeight="1">
      <c r="N348" s="190"/>
    </row>
    <row r="349" ht="19.5" customHeight="1">
      <c r="N349" s="190"/>
    </row>
    <row r="350" ht="19.5" customHeight="1">
      <c r="N350" s="190"/>
    </row>
    <row r="351" ht="19.5" customHeight="1">
      <c r="N351" s="190"/>
    </row>
    <row r="352" ht="19.5" customHeight="1">
      <c r="N352" s="190"/>
    </row>
    <row r="353" ht="19.5" customHeight="1">
      <c r="N353" s="190"/>
    </row>
    <row r="354" ht="19.5" customHeight="1">
      <c r="N354" s="190"/>
    </row>
    <row r="355" ht="19.5" customHeight="1">
      <c r="N355" s="190"/>
    </row>
    <row r="356" ht="19.5" customHeight="1">
      <c r="N356" s="190"/>
    </row>
    <row r="357" ht="19.5" customHeight="1">
      <c r="N357" s="190"/>
    </row>
    <row r="358" ht="19.5" customHeight="1">
      <c r="N358" s="190"/>
    </row>
    <row r="359" ht="19.5" customHeight="1">
      <c r="N359" s="190"/>
    </row>
    <row r="360" ht="19.5" customHeight="1">
      <c r="N360" s="190"/>
    </row>
    <row r="361" ht="19.5" customHeight="1">
      <c r="N361" s="190"/>
    </row>
    <row r="362" ht="19.5" customHeight="1">
      <c r="N362" s="190"/>
    </row>
    <row r="363" ht="19.5" customHeight="1">
      <c r="N363" s="190"/>
    </row>
    <row r="364" ht="19.5" customHeight="1">
      <c r="N364" s="190"/>
    </row>
    <row r="365" ht="19.5" customHeight="1">
      <c r="N365" s="190"/>
    </row>
    <row r="366" ht="19.5" customHeight="1">
      <c r="N366" s="190"/>
    </row>
    <row r="367" ht="19.5" customHeight="1">
      <c r="N367" s="190"/>
    </row>
    <row r="368" ht="19.5" customHeight="1">
      <c r="N368" s="190"/>
    </row>
    <row r="369" ht="19.5" customHeight="1">
      <c r="N369" s="190"/>
    </row>
    <row r="370" ht="19.5" customHeight="1">
      <c r="N370" s="190"/>
    </row>
    <row r="371" ht="19.5" customHeight="1">
      <c r="N371" s="190"/>
    </row>
    <row r="372" ht="19.5" customHeight="1">
      <c r="N372" s="190"/>
    </row>
    <row r="373" ht="19.5" customHeight="1">
      <c r="N373" s="190"/>
    </row>
    <row r="374" ht="19.5" customHeight="1">
      <c r="N374" s="190"/>
    </row>
    <row r="375" ht="19.5" customHeight="1">
      <c r="N375" s="190"/>
    </row>
    <row r="376" ht="19.5" customHeight="1">
      <c r="N376" s="190"/>
    </row>
    <row r="377" ht="19.5" customHeight="1">
      <c r="N377" s="190"/>
    </row>
    <row r="378" ht="19.5" customHeight="1">
      <c r="N378" s="190"/>
    </row>
    <row r="379" ht="19.5" customHeight="1">
      <c r="N379" s="190"/>
    </row>
    <row r="380" ht="19.5" customHeight="1">
      <c r="N380" s="190"/>
    </row>
    <row r="381" ht="19.5" customHeight="1">
      <c r="N381" s="190"/>
    </row>
    <row r="382" ht="19.5" customHeight="1">
      <c r="N382" s="190"/>
    </row>
    <row r="383" ht="19.5" customHeight="1">
      <c r="N383" s="190"/>
    </row>
    <row r="384" ht="19.5" customHeight="1">
      <c r="N384" s="190"/>
    </row>
    <row r="385" ht="19.5" customHeight="1">
      <c r="N385" s="190"/>
    </row>
    <row r="386" ht="19.5" customHeight="1">
      <c r="N386" s="190"/>
    </row>
    <row r="387" ht="19.5" customHeight="1">
      <c r="N387" s="190"/>
    </row>
    <row r="388" ht="19.5" customHeight="1">
      <c r="N388" s="190"/>
    </row>
    <row r="389" ht="19.5" customHeight="1">
      <c r="N389" s="190"/>
    </row>
    <row r="390" ht="19.5" customHeight="1">
      <c r="N390" s="190"/>
    </row>
    <row r="391" ht="19.5" customHeight="1">
      <c r="N391" s="190"/>
    </row>
    <row r="392" ht="19.5" customHeight="1">
      <c r="N392" s="190"/>
    </row>
    <row r="393" ht="19.5" customHeight="1">
      <c r="N393" s="190"/>
    </row>
    <row r="394" ht="19.5" customHeight="1">
      <c r="N394" s="190"/>
    </row>
    <row r="395" ht="19.5" customHeight="1">
      <c r="N395" s="190"/>
    </row>
    <row r="396" ht="19.5" customHeight="1">
      <c r="N396" s="190"/>
    </row>
    <row r="397" ht="19.5" customHeight="1">
      <c r="N397" s="190"/>
    </row>
    <row r="398" ht="19.5" customHeight="1">
      <c r="N398" s="190"/>
    </row>
    <row r="399" ht="19.5" customHeight="1">
      <c r="N399" s="190"/>
    </row>
    <row r="400" ht="19.5" customHeight="1">
      <c r="N400" s="190"/>
    </row>
    <row r="401" ht="19.5" customHeight="1">
      <c r="N401" s="190"/>
    </row>
    <row r="402" ht="19.5" customHeight="1">
      <c r="N402" s="190"/>
    </row>
    <row r="403" ht="19.5" customHeight="1">
      <c r="N403" s="190"/>
    </row>
    <row r="404" ht="19.5" customHeight="1">
      <c r="N404" s="190"/>
    </row>
    <row r="405" ht="19.5" customHeight="1">
      <c r="N405" s="190"/>
    </row>
    <row r="406" ht="19.5" customHeight="1">
      <c r="N406" s="190"/>
    </row>
    <row r="407" ht="19.5" customHeight="1">
      <c r="N407" s="190"/>
    </row>
    <row r="408" ht="19.5" customHeight="1">
      <c r="N408" s="190"/>
    </row>
    <row r="409" ht="19.5" customHeight="1">
      <c r="N409" s="190"/>
    </row>
    <row r="410" ht="19.5" customHeight="1">
      <c r="N410" s="190"/>
    </row>
    <row r="411" ht="19.5" customHeight="1">
      <c r="N411" s="190"/>
    </row>
    <row r="412" ht="19.5" customHeight="1">
      <c r="N412" s="190"/>
    </row>
    <row r="413" ht="19.5" customHeight="1">
      <c r="N413" s="190"/>
    </row>
    <row r="414" ht="19.5" customHeight="1">
      <c r="N414" s="190"/>
    </row>
    <row r="415" ht="19.5" customHeight="1">
      <c r="N415" s="190"/>
    </row>
    <row r="416" ht="19.5" customHeight="1">
      <c r="N416" s="190"/>
    </row>
    <row r="417" ht="19.5" customHeight="1">
      <c r="N417" s="190"/>
    </row>
    <row r="418" ht="19.5" customHeight="1">
      <c r="N418" s="190"/>
    </row>
    <row r="419" ht="19.5" customHeight="1">
      <c r="N419" s="190"/>
    </row>
    <row r="420" ht="19.5" customHeight="1">
      <c r="N420" s="190"/>
    </row>
    <row r="421" ht="19.5" customHeight="1">
      <c r="N421" s="190"/>
    </row>
    <row r="422" ht="19.5" customHeight="1">
      <c r="N422" s="190"/>
    </row>
    <row r="423" ht="19.5" customHeight="1">
      <c r="N423" s="190"/>
    </row>
    <row r="424" ht="19.5" customHeight="1">
      <c r="N424" s="190"/>
    </row>
    <row r="425" ht="19.5" customHeight="1">
      <c r="N425" s="190"/>
    </row>
    <row r="426" ht="19.5" customHeight="1">
      <c r="N426" s="190"/>
    </row>
    <row r="427" ht="19.5" customHeight="1">
      <c r="N427" s="190"/>
    </row>
    <row r="428" ht="19.5" customHeight="1">
      <c r="N428" s="190"/>
    </row>
    <row r="429" ht="19.5" customHeight="1">
      <c r="N429" s="190"/>
    </row>
    <row r="430" ht="19.5" customHeight="1">
      <c r="N430" s="190"/>
    </row>
    <row r="431" ht="19.5" customHeight="1">
      <c r="N431" s="190"/>
    </row>
    <row r="432" ht="19.5" customHeight="1">
      <c r="N432" s="190"/>
    </row>
    <row r="433" ht="19.5" customHeight="1">
      <c r="N433" s="190"/>
    </row>
    <row r="434" ht="19.5" customHeight="1">
      <c r="N434" s="190"/>
    </row>
    <row r="435" ht="19.5" customHeight="1">
      <c r="N435" s="190"/>
    </row>
    <row r="436" ht="19.5" customHeight="1">
      <c r="N436" s="190"/>
    </row>
    <row r="437" ht="19.5" customHeight="1">
      <c r="N437" s="190"/>
    </row>
    <row r="438" ht="19.5" customHeight="1">
      <c r="N438" s="190"/>
    </row>
    <row r="439" ht="19.5" customHeight="1">
      <c r="N439" s="190"/>
    </row>
    <row r="440" ht="19.5" customHeight="1">
      <c r="N440" s="190"/>
    </row>
    <row r="441" ht="19.5" customHeight="1">
      <c r="N441" s="190"/>
    </row>
    <row r="442" ht="19.5" customHeight="1">
      <c r="N442" s="190"/>
    </row>
    <row r="443" ht="19.5" customHeight="1">
      <c r="N443" s="190"/>
    </row>
    <row r="444" ht="19.5" customHeight="1">
      <c r="N444" s="190"/>
    </row>
    <row r="445" ht="19.5" customHeight="1">
      <c r="N445" s="190"/>
    </row>
    <row r="446" ht="19.5" customHeight="1">
      <c r="N446" s="190"/>
    </row>
    <row r="447" ht="19.5" customHeight="1">
      <c r="N447" s="190"/>
    </row>
    <row r="448" ht="19.5" customHeight="1">
      <c r="N448" s="190"/>
    </row>
    <row r="449" ht="19.5" customHeight="1">
      <c r="N449" s="190"/>
    </row>
    <row r="450" ht="19.5" customHeight="1">
      <c r="N450" s="190"/>
    </row>
    <row r="451" ht="19.5" customHeight="1">
      <c r="N451" s="190"/>
    </row>
    <row r="452" ht="19.5" customHeight="1">
      <c r="N452" s="190"/>
    </row>
    <row r="453" ht="19.5" customHeight="1">
      <c r="N453" s="190"/>
    </row>
    <row r="454" ht="19.5" customHeight="1">
      <c r="N454" s="190"/>
    </row>
    <row r="455" ht="19.5" customHeight="1">
      <c r="N455" s="190"/>
    </row>
    <row r="456" ht="19.5" customHeight="1">
      <c r="N456" s="190"/>
    </row>
    <row r="457" ht="19.5" customHeight="1">
      <c r="N457" s="190"/>
    </row>
    <row r="458" ht="19.5" customHeight="1">
      <c r="N458" s="190"/>
    </row>
    <row r="459" ht="19.5" customHeight="1">
      <c r="N459" s="190"/>
    </row>
    <row r="460" ht="19.5" customHeight="1">
      <c r="N460" s="190"/>
    </row>
    <row r="461" ht="19.5" customHeight="1">
      <c r="N461" s="190"/>
    </row>
    <row r="462" ht="19.5" customHeight="1">
      <c r="N462" s="190"/>
    </row>
    <row r="463" ht="19.5" customHeight="1">
      <c r="N463" s="190"/>
    </row>
    <row r="464" ht="19.5" customHeight="1">
      <c r="N464" s="190"/>
    </row>
    <row r="465" ht="19.5" customHeight="1">
      <c r="N465" s="190"/>
    </row>
    <row r="466" ht="19.5" customHeight="1">
      <c r="N466" s="190"/>
    </row>
    <row r="467" ht="19.5" customHeight="1">
      <c r="N467" s="190"/>
    </row>
    <row r="468" ht="19.5" customHeight="1">
      <c r="N468" s="190"/>
    </row>
    <row r="469" ht="19.5" customHeight="1">
      <c r="N469" s="190"/>
    </row>
    <row r="470" ht="19.5" customHeight="1">
      <c r="N470" s="190"/>
    </row>
    <row r="471" ht="19.5" customHeight="1">
      <c r="N471" s="190"/>
    </row>
    <row r="472" ht="19.5" customHeight="1">
      <c r="N472" s="190"/>
    </row>
    <row r="473" ht="19.5" customHeight="1">
      <c r="N473" s="190"/>
    </row>
    <row r="474" ht="19.5" customHeight="1">
      <c r="N474" s="190"/>
    </row>
    <row r="475" ht="19.5" customHeight="1">
      <c r="N475" s="190"/>
    </row>
    <row r="476" ht="19.5" customHeight="1">
      <c r="N476" s="190"/>
    </row>
    <row r="477" ht="19.5" customHeight="1">
      <c r="N477" s="190"/>
    </row>
    <row r="478" ht="19.5" customHeight="1">
      <c r="N478" s="190"/>
    </row>
    <row r="479" ht="19.5" customHeight="1">
      <c r="N479" s="190"/>
    </row>
    <row r="480" ht="19.5" customHeight="1">
      <c r="N480" s="190"/>
    </row>
    <row r="481" ht="19.5" customHeight="1">
      <c r="N481" s="190"/>
    </row>
    <row r="482" ht="19.5" customHeight="1">
      <c r="N482" s="190"/>
    </row>
    <row r="483" ht="19.5" customHeight="1">
      <c r="N483" s="190"/>
    </row>
    <row r="484" ht="19.5" customHeight="1">
      <c r="N484" s="190"/>
    </row>
    <row r="485" ht="19.5" customHeight="1">
      <c r="N485" s="190"/>
    </row>
    <row r="486" ht="19.5" customHeight="1">
      <c r="N486" s="190"/>
    </row>
    <row r="487" ht="19.5" customHeight="1">
      <c r="N487" s="190"/>
    </row>
    <row r="488" ht="19.5" customHeight="1">
      <c r="N488" s="190"/>
    </row>
    <row r="489" ht="19.5" customHeight="1">
      <c r="N489" s="190"/>
    </row>
    <row r="490" ht="19.5" customHeight="1">
      <c r="N490" s="190"/>
    </row>
    <row r="491" ht="19.5" customHeight="1">
      <c r="N491" s="190"/>
    </row>
    <row r="492" ht="19.5" customHeight="1">
      <c r="N492" s="190"/>
    </row>
    <row r="493" ht="19.5" customHeight="1">
      <c r="N493" s="190"/>
    </row>
    <row r="494" ht="19.5" customHeight="1">
      <c r="N494" s="190"/>
    </row>
    <row r="495" ht="19.5" customHeight="1">
      <c r="N495" s="190"/>
    </row>
    <row r="496" ht="19.5" customHeight="1">
      <c r="N496" s="190"/>
    </row>
    <row r="497" ht="19.5" customHeight="1">
      <c r="N497" s="190"/>
    </row>
    <row r="498" ht="19.5" customHeight="1">
      <c r="N498" s="190"/>
    </row>
    <row r="499" ht="19.5" customHeight="1">
      <c r="N499" s="190"/>
    </row>
    <row r="500" ht="19.5" customHeight="1">
      <c r="N500" s="190"/>
    </row>
    <row r="501" ht="19.5" customHeight="1">
      <c r="N501" s="190"/>
    </row>
    <row r="502" ht="19.5" customHeight="1">
      <c r="N502" s="190"/>
    </row>
    <row r="503" ht="19.5" customHeight="1">
      <c r="N503" s="190"/>
    </row>
    <row r="504" ht="19.5" customHeight="1">
      <c r="N504" s="190"/>
    </row>
    <row r="505" ht="19.5" customHeight="1">
      <c r="N505" s="190"/>
    </row>
    <row r="506" ht="19.5" customHeight="1">
      <c r="N506" s="190"/>
    </row>
    <row r="507" ht="19.5" customHeight="1">
      <c r="N507" s="190"/>
    </row>
    <row r="508" ht="19.5" customHeight="1">
      <c r="N508" s="190"/>
    </row>
    <row r="509" ht="19.5" customHeight="1">
      <c r="N509" s="190"/>
    </row>
    <row r="510" ht="19.5" customHeight="1">
      <c r="N510" s="190"/>
    </row>
    <row r="511" ht="19.5" customHeight="1">
      <c r="N511" s="190"/>
    </row>
    <row r="512" ht="19.5" customHeight="1">
      <c r="N512" s="190"/>
    </row>
    <row r="513" ht="19.5" customHeight="1">
      <c r="N513" s="190"/>
    </row>
    <row r="514" ht="19.5" customHeight="1">
      <c r="N514" s="190"/>
    </row>
    <row r="515" ht="19.5" customHeight="1">
      <c r="N515" s="190"/>
    </row>
    <row r="516" ht="19.5" customHeight="1">
      <c r="N516" s="190"/>
    </row>
    <row r="517" ht="19.5" customHeight="1">
      <c r="N517" s="190"/>
    </row>
    <row r="518" ht="19.5" customHeight="1">
      <c r="N518" s="190"/>
    </row>
    <row r="519" ht="19.5" customHeight="1">
      <c r="N519" s="190"/>
    </row>
    <row r="520" ht="19.5" customHeight="1">
      <c r="N520" s="190"/>
    </row>
    <row r="521" ht="19.5" customHeight="1">
      <c r="N521" s="190"/>
    </row>
    <row r="522" ht="19.5" customHeight="1">
      <c r="N522" s="190"/>
    </row>
    <row r="523" ht="19.5" customHeight="1">
      <c r="N523" s="190"/>
    </row>
    <row r="524" ht="19.5" customHeight="1">
      <c r="N524" s="190"/>
    </row>
    <row r="525" ht="19.5" customHeight="1">
      <c r="N525" s="190"/>
    </row>
    <row r="526" ht="19.5" customHeight="1">
      <c r="N526" s="190"/>
    </row>
    <row r="527" ht="19.5" customHeight="1">
      <c r="N527" s="190"/>
    </row>
    <row r="528" ht="19.5" customHeight="1">
      <c r="N528" s="190"/>
    </row>
    <row r="529" ht="19.5" customHeight="1">
      <c r="N529" s="190"/>
    </row>
    <row r="530" ht="19.5" customHeight="1">
      <c r="N530" s="190"/>
    </row>
    <row r="531" ht="19.5" customHeight="1">
      <c r="N531" s="190"/>
    </row>
    <row r="532" ht="19.5" customHeight="1">
      <c r="N532" s="190"/>
    </row>
    <row r="533" ht="19.5" customHeight="1">
      <c r="N533" s="190"/>
    </row>
    <row r="534" ht="19.5" customHeight="1">
      <c r="N534" s="190"/>
    </row>
    <row r="535" ht="19.5" customHeight="1">
      <c r="N535" s="190"/>
    </row>
    <row r="536" ht="19.5" customHeight="1">
      <c r="N536" s="190"/>
    </row>
    <row r="537" ht="19.5" customHeight="1">
      <c r="N537" s="190"/>
    </row>
    <row r="538" ht="19.5" customHeight="1">
      <c r="N538" s="190"/>
    </row>
    <row r="539" ht="19.5" customHeight="1">
      <c r="N539" s="190"/>
    </row>
    <row r="540" ht="19.5" customHeight="1">
      <c r="N540" s="190"/>
    </row>
    <row r="541" ht="19.5" customHeight="1">
      <c r="N541" s="190"/>
    </row>
    <row r="542" ht="19.5" customHeight="1">
      <c r="N542" s="190"/>
    </row>
    <row r="543" ht="19.5" customHeight="1">
      <c r="N543" s="190"/>
    </row>
    <row r="544" ht="19.5" customHeight="1">
      <c r="N544" s="190"/>
    </row>
    <row r="545" ht="19.5" customHeight="1">
      <c r="N545" s="190"/>
    </row>
    <row r="546" ht="19.5" customHeight="1">
      <c r="N546" s="190"/>
    </row>
    <row r="547" ht="19.5" customHeight="1">
      <c r="N547" s="190"/>
    </row>
    <row r="548" ht="19.5" customHeight="1">
      <c r="N548" s="190"/>
    </row>
    <row r="549" ht="19.5" customHeight="1">
      <c r="N549" s="190"/>
    </row>
    <row r="550" ht="19.5" customHeight="1">
      <c r="N550" s="190"/>
    </row>
    <row r="551" ht="19.5" customHeight="1">
      <c r="N551" s="190"/>
    </row>
    <row r="552" ht="19.5" customHeight="1">
      <c r="N552" s="190"/>
    </row>
    <row r="553" ht="19.5" customHeight="1">
      <c r="N553" s="190"/>
    </row>
    <row r="554" ht="19.5" customHeight="1">
      <c r="N554" s="190"/>
    </row>
    <row r="555" ht="19.5" customHeight="1">
      <c r="N555" s="190"/>
    </row>
    <row r="556" ht="19.5" customHeight="1">
      <c r="N556" s="190"/>
    </row>
    <row r="557" ht="19.5" customHeight="1">
      <c r="N557" s="190"/>
    </row>
    <row r="558" ht="19.5" customHeight="1">
      <c r="N558" s="190"/>
    </row>
    <row r="559" ht="19.5" customHeight="1">
      <c r="N559" s="190"/>
    </row>
    <row r="560" ht="19.5" customHeight="1">
      <c r="N560" s="190"/>
    </row>
    <row r="561" ht="19.5" customHeight="1">
      <c r="N561" s="190"/>
    </row>
    <row r="562" ht="19.5" customHeight="1">
      <c r="N562" s="190"/>
    </row>
    <row r="563" ht="19.5" customHeight="1">
      <c r="N563" s="190"/>
    </row>
    <row r="564" ht="19.5" customHeight="1">
      <c r="N564" s="190"/>
    </row>
    <row r="565" ht="19.5" customHeight="1">
      <c r="N565" s="190"/>
    </row>
    <row r="566" ht="19.5" customHeight="1">
      <c r="N566" s="190"/>
    </row>
    <row r="567" ht="19.5" customHeight="1">
      <c r="N567" s="190"/>
    </row>
    <row r="568" ht="19.5" customHeight="1">
      <c r="N568" s="190"/>
    </row>
    <row r="569" ht="19.5" customHeight="1">
      <c r="N569" s="190"/>
    </row>
    <row r="570" ht="19.5" customHeight="1">
      <c r="N570" s="190"/>
    </row>
    <row r="571" ht="19.5" customHeight="1">
      <c r="N571" s="190"/>
    </row>
    <row r="572" ht="19.5" customHeight="1">
      <c r="N572" s="190"/>
    </row>
    <row r="573" ht="19.5" customHeight="1">
      <c r="N573" s="190"/>
    </row>
    <row r="574" ht="19.5" customHeight="1">
      <c r="N574" s="190"/>
    </row>
    <row r="575" ht="19.5" customHeight="1">
      <c r="N575" s="190"/>
    </row>
    <row r="576" ht="19.5" customHeight="1">
      <c r="N576" s="190"/>
    </row>
    <row r="577" ht="19.5" customHeight="1">
      <c r="N577" s="190"/>
    </row>
    <row r="578" ht="19.5" customHeight="1">
      <c r="N578" s="190"/>
    </row>
    <row r="579" ht="19.5" customHeight="1">
      <c r="N579" s="190"/>
    </row>
    <row r="580" ht="19.5" customHeight="1">
      <c r="N580" s="190"/>
    </row>
    <row r="581" ht="19.5" customHeight="1">
      <c r="N581" s="190"/>
    </row>
    <row r="582" ht="19.5" customHeight="1">
      <c r="N582" s="190"/>
    </row>
    <row r="583" ht="19.5" customHeight="1">
      <c r="N583" s="190"/>
    </row>
    <row r="584" ht="19.5" customHeight="1">
      <c r="N584" s="190"/>
    </row>
    <row r="585" ht="19.5" customHeight="1">
      <c r="N585" s="190"/>
    </row>
    <row r="586" ht="19.5" customHeight="1">
      <c r="N586" s="190"/>
    </row>
    <row r="587" ht="19.5" customHeight="1">
      <c r="N587" s="190"/>
    </row>
    <row r="588" ht="19.5" customHeight="1">
      <c r="N588" s="190"/>
    </row>
    <row r="589" ht="19.5" customHeight="1">
      <c r="N589" s="190"/>
    </row>
    <row r="590" ht="19.5" customHeight="1">
      <c r="N590" s="190"/>
    </row>
    <row r="591" ht="19.5" customHeight="1">
      <c r="N591" s="190"/>
    </row>
    <row r="592" ht="19.5" customHeight="1">
      <c r="N592" s="190"/>
    </row>
    <row r="593" ht="19.5" customHeight="1">
      <c r="N593" s="190"/>
    </row>
    <row r="594" ht="19.5" customHeight="1">
      <c r="N594" s="190"/>
    </row>
    <row r="595" ht="19.5" customHeight="1">
      <c r="N595" s="190"/>
    </row>
    <row r="596" ht="19.5" customHeight="1">
      <c r="N596" s="190"/>
    </row>
    <row r="597" ht="19.5" customHeight="1">
      <c r="N597" s="190"/>
    </row>
    <row r="598" ht="19.5" customHeight="1">
      <c r="N598" s="190"/>
    </row>
    <row r="599" ht="19.5" customHeight="1">
      <c r="N599" s="190"/>
    </row>
    <row r="600" ht="19.5" customHeight="1">
      <c r="N600" s="190"/>
    </row>
    <row r="601" ht="19.5" customHeight="1">
      <c r="N601" s="190"/>
    </row>
    <row r="602" ht="19.5" customHeight="1">
      <c r="N602" s="190"/>
    </row>
    <row r="603" ht="19.5" customHeight="1">
      <c r="N603" s="190"/>
    </row>
    <row r="604" ht="19.5" customHeight="1">
      <c r="N604" s="190"/>
    </row>
    <row r="605" ht="19.5" customHeight="1">
      <c r="N605" s="190"/>
    </row>
    <row r="606" ht="19.5" customHeight="1">
      <c r="N606" s="190"/>
    </row>
    <row r="607" ht="19.5" customHeight="1">
      <c r="N607" s="190"/>
    </row>
    <row r="608" ht="19.5" customHeight="1">
      <c r="N608" s="190"/>
    </row>
    <row r="609" ht="19.5" customHeight="1">
      <c r="N609" s="190"/>
    </row>
    <row r="610" ht="19.5" customHeight="1">
      <c r="N610" s="190"/>
    </row>
    <row r="611" ht="19.5" customHeight="1">
      <c r="N611" s="190"/>
    </row>
    <row r="612" ht="19.5" customHeight="1">
      <c r="N612" s="190"/>
    </row>
    <row r="613" ht="19.5" customHeight="1">
      <c r="N613" s="190"/>
    </row>
    <row r="614" ht="19.5" customHeight="1">
      <c r="N614" s="190"/>
    </row>
    <row r="615" ht="19.5" customHeight="1">
      <c r="N615" s="190"/>
    </row>
    <row r="616" ht="19.5" customHeight="1">
      <c r="N616" s="190"/>
    </row>
    <row r="617" ht="19.5" customHeight="1">
      <c r="N617" s="190"/>
    </row>
    <row r="618" ht="19.5" customHeight="1">
      <c r="N618" s="190"/>
    </row>
    <row r="619" ht="19.5" customHeight="1">
      <c r="N619" s="190"/>
    </row>
    <row r="620" ht="19.5" customHeight="1">
      <c r="N620" s="190"/>
    </row>
    <row r="621" ht="19.5" customHeight="1">
      <c r="N621" s="190"/>
    </row>
    <row r="622" ht="19.5" customHeight="1">
      <c r="N622" s="190"/>
    </row>
    <row r="623" ht="19.5" customHeight="1">
      <c r="N623" s="190"/>
    </row>
    <row r="624" ht="19.5" customHeight="1">
      <c r="N624" s="190"/>
    </row>
    <row r="625" ht="19.5" customHeight="1">
      <c r="N625" s="190"/>
    </row>
    <row r="626" ht="19.5" customHeight="1">
      <c r="N626" s="190"/>
    </row>
    <row r="627" ht="19.5" customHeight="1">
      <c r="N627" s="190"/>
    </row>
    <row r="628" ht="19.5" customHeight="1">
      <c r="N628" s="190"/>
    </row>
    <row r="629" ht="19.5" customHeight="1">
      <c r="N629" s="190"/>
    </row>
    <row r="630" ht="19.5" customHeight="1">
      <c r="N630" s="190"/>
    </row>
    <row r="631" ht="19.5" customHeight="1">
      <c r="N631" s="190"/>
    </row>
    <row r="632" ht="19.5" customHeight="1">
      <c r="N632" s="190"/>
    </row>
    <row r="633" ht="19.5" customHeight="1">
      <c r="N633" s="190"/>
    </row>
    <row r="634" ht="19.5" customHeight="1">
      <c r="N634" s="190"/>
    </row>
    <row r="635" ht="19.5" customHeight="1">
      <c r="N635" s="190"/>
    </row>
    <row r="636" ht="19.5" customHeight="1">
      <c r="N636" s="190"/>
    </row>
    <row r="637" ht="19.5" customHeight="1">
      <c r="N637" s="190"/>
    </row>
    <row r="638" ht="19.5" customHeight="1">
      <c r="N638" s="190"/>
    </row>
    <row r="639" ht="19.5" customHeight="1">
      <c r="N639" s="190"/>
    </row>
    <row r="640" ht="19.5" customHeight="1">
      <c r="N640" s="190"/>
    </row>
    <row r="641" ht="19.5" customHeight="1">
      <c r="N641" s="190"/>
    </row>
    <row r="642" ht="19.5" customHeight="1">
      <c r="N642" s="190"/>
    </row>
    <row r="643" ht="19.5" customHeight="1">
      <c r="N643" s="190"/>
    </row>
    <row r="644" ht="19.5" customHeight="1">
      <c r="N644" s="190"/>
    </row>
    <row r="645" ht="19.5" customHeight="1">
      <c r="N645" s="190"/>
    </row>
    <row r="646" ht="19.5" customHeight="1">
      <c r="N646" s="190"/>
    </row>
    <row r="647" ht="19.5" customHeight="1">
      <c r="N647" s="190"/>
    </row>
    <row r="648" ht="19.5" customHeight="1">
      <c r="N648" s="190"/>
    </row>
    <row r="649" ht="19.5" customHeight="1">
      <c r="N649" s="190"/>
    </row>
    <row r="650" ht="19.5" customHeight="1">
      <c r="N650" s="190"/>
    </row>
    <row r="651" ht="19.5" customHeight="1">
      <c r="N651" s="190"/>
    </row>
    <row r="652" ht="19.5" customHeight="1">
      <c r="N652" s="190"/>
    </row>
    <row r="653" ht="19.5" customHeight="1">
      <c r="N653" s="190"/>
    </row>
    <row r="654" ht="19.5" customHeight="1">
      <c r="N654" s="190"/>
    </row>
    <row r="655" ht="19.5" customHeight="1">
      <c r="N655" s="190"/>
    </row>
    <row r="656" ht="19.5" customHeight="1">
      <c r="N656" s="190"/>
    </row>
    <row r="657" ht="19.5" customHeight="1">
      <c r="N657" s="190"/>
    </row>
    <row r="658" ht="19.5" customHeight="1">
      <c r="N658" s="190"/>
    </row>
    <row r="659" ht="19.5" customHeight="1">
      <c r="N659" s="190"/>
    </row>
    <row r="660" ht="19.5" customHeight="1">
      <c r="N660" s="190"/>
    </row>
    <row r="661" ht="19.5" customHeight="1">
      <c r="N661" s="190"/>
    </row>
    <row r="662" ht="19.5" customHeight="1">
      <c r="N662" s="190"/>
    </row>
    <row r="663" ht="19.5" customHeight="1">
      <c r="N663" s="190"/>
    </row>
    <row r="664" ht="19.5" customHeight="1">
      <c r="N664" s="190"/>
    </row>
    <row r="665" ht="19.5" customHeight="1">
      <c r="N665" s="190"/>
    </row>
    <row r="666" ht="19.5" customHeight="1">
      <c r="N666" s="190"/>
    </row>
    <row r="667" ht="19.5" customHeight="1">
      <c r="N667" s="190"/>
    </row>
    <row r="668" ht="19.5" customHeight="1">
      <c r="N668" s="190"/>
    </row>
    <row r="669" ht="19.5" customHeight="1">
      <c r="N669" s="190"/>
    </row>
    <row r="670" ht="19.5" customHeight="1">
      <c r="N670" s="190"/>
    </row>
    <row r="671" ht="19.5" customHeight="1">
      <c r="N671" s="190"/>
    </row>
    <row r="672" ht="19.5" customHeight="1">
      <c r="N672" s="190"/>
    </row>
    <row r="673" ht="19.5" customHeight="1">
      <c r="N673" s="190"/>
    </row>
    <row r="674" ht="19.5" customHeight="1">
      <c r="N674" s="190"/>
    </row>
    <row r="675" ht="19.5" customHeight="1">
      <c r="N675" s="190"/>
    </row>
    <row r="676" ht="19.5" customHeight="1">
      <c r="N676" s="190"/>
    </row>
    <row r="677" ht="19.5" customHeight="1">
      <c r="N677" s="190"/>
    </row>
    <row r="678" ht="19.5" customHeight="1">
      <c r="N678" s="190"/>
    </row>
    <row r="679" ht="19.5" customHeight="1">
      <c r="N679" s="190"/>
    </row>
    <row r="680" ht="19.5" customHeight="1">
      <c r="N680" s="190"/>
    </row>
    <row r="681" ht="19.5" customHeight="1">
      <c r="N681" s="190"/>
    </row>
    <row r="682" ht="19.5" customHeight="1">
      <c r="N682" s="190"/>
    </row>
    <row r="683" ht="19.5" customHeight="1">
      <c r="N683" s="190"/>
    </row>
    <row r="684" ht="19.5" customHeight="1">
      <c r="N684" s="190"/>
    </row>
    <row r="685" ht="19.5" customHeight="1">
      <c r="N685" s="190"/>
    </row>
    <row r="686" ht="19.5" customHeight="1">
      <c r="N686" s="190"/>
    </row>
    <row r="687" ht="19.5" customHeight="1">
      <c r="N687" s="190"/>
    </row>
    <row r="688" ht="19.5" customHeight="1">
      <c r="N688" s="190"/>
    </row>
    <row r="689" ht="19.5" customHeight="1">
      <c r="N689" s="190"/>
    </row>
    <row r="690" ht="19.5" customHeight="1">
      <c r="N690" s="190"/>
    </row>
    <row r="691" ht="19.5" customHeight="1">
      <c r="N691" s="190"/>
    </row>
    <row r="692" ht="19.5" customHeight="1">
      <c r="N692" s="190"/>
    </row>
    <row r="693" ht="19.5" customHeight="1">
      <c r="N693" s="190"/>
    </row>
    <row r="694" ht="19.5" customHeight="1">
      <c r="N694" s="190"/>
    </row>
    <row r="695" ht="19.5" customHeight="1">
      <c r="N695" s="190"/>
    </row>
    <row r="696" ht="19.5" customHeight="1">
      <c r="N696" s="190"/>
    </row>
    <row r="697" ht="19.5" customHeight="1">
      <c r="N697" s="190"/>
    </row>
    <row r="698" ht="19.5" customHeight="1">
      <c r="N698" s="190"/>
    </row>
    <row r="699" ht="19.5" customHeight="1">
      <c r="N699" s="190"/>
    </row>
    <row r="700" ht="19.5" customHeight="1">
      <c r="N700" s="190"/>
    </row>
    <row r="701" ht="19.5" customHeight="1">
      <c r="N701" s="190"/>
    </row>
    <row r="702" ht="19.5" customHeight="1">
      <c r="N702" s="190"/>
    </row>
    <row r="703" ht="19.5" customHeight="1">
      <c r="N703" s="190"/>
    </row>
    <row r="704" ht="19.5" customHeight="1">
      <c r="N704" s="190"/>
    </row>
    <row r="705" ht="19.5" customHeight="1">
      <c r="N705" s="190"/>
    </row>
    <row r="706" ht="19.5" customHeight="1">
      <c r="N706" s="190"/>
    </row>
    <row r="707" ht="19.5" customHeight="1">
      <c r="N707" s="190"/>
    </row>
    <row r="708" ht="19.5" customHeight="1">
      <c r="N708" s="190"/>
    </row>
    <row r="709" ht="19.5" customHeight="1">
      <c r="N709" s="190"/>
    </row>
    <row r="710" ht="19.5" customHeight="1">
      <c r="N710" s="190"/>
    </row>
    <row r="711" ht="19.5" customHeight="1">
      <c r="N711" s="190"/>
    </row>
    <row r="712" ht="19.5" customHeight="1">
      <c r="N712" s="190"/>
    </row>
    <row r="713" ht="19.5" customHeight="1">
      <c r="N713" s="190"/>
    </row>
    <row r="714" ht="19.5" customHeight="1">
      <c r="N714" s="190"/>
    </row>
    <row r="715" ht="19.5" customHeight="1">
      <c r="N715" s="190"/>
    </row>
    <row r="716" ht="19.5" customHeight="1">
      <c r="N716" s="190"/>
    </row>
    <row r="717" ht="19.5" customHeight="1">
      <c r="N717" s="190"/>
    </row>
    <row r="718" ht="19.5" customHeight="1">
      <c r="N718" s="190"/>
    </row>
    <row r="719" ht="19.5" customHeight="1">
      <c r="N719" s="190"/>
    </row>
    <row r="720" ht="19.5" customHeight="1">
      <c r="N720" s="190"/>
    </row>
    <row r="721" ht="19.5" customHeight="1">
      <c r="N721" s="190"/>
    </row>
    <row r="722" ht="19.5" customHeight="1">
      <c r="N722" s="190"/>
    </row>
    <row r="723" ht="19.5" customHeight="1">
      <c r="N723" s="190"/>
    </row>
    <row r="724" ht="19.5" customHeight="1">
      <c r="N724" s="190"/>
    </row>
    <row r="725" ht="19.5" customHeight="1">
      <c r="N725" s="190"/>
    </row>
    <row r="726" ht="19.5" customHeight="1">
      <c r="N726" s="190"/>
    </row>
    <row r="727" ht="19.5" customHeight="1">
      <c r="N727" s="190"/>
    </row>
    <row r="728" ht="19.5" customHeight="1">
      <c r="N728" s="190"/>
    </row>
    <row r="729" ht="19.5" customHeight="1">
      <c r="N729" s="190"/>
    </row>
    <row r="730" ht="19.5" customHeight="1">
      <c r="N730" s="190"/>
    </row>
    <row r="731" ht="19.5" customHeight="1">
      <c r="N731" s="190"/>
    </row>
    <row r="732" ht="19.5" customHeight="1">
      <c r="N732" s="190"/>
    </row>
    <row r="733" ht="19.5" customHeight="1">
      <c r="N733" s="190"/>
    </row>
    <row r="734" ht="19.5" customHeight="1">
      <c r="N734" s="190"/>
    </row>
    <row r="735" ht="19.5" customHeight="1">
      <c r="N735" s="190"/>
    </row>
    <row r="736" ht="19.5" customHeight="1">
      <c r="N736" s="190"/>
    </row>
    <row r="737" ht="19.5" customHeight="1">
      <c r="N737" s="190"/>
    </row>
    <row r="738" ht="19.5" customHeight="1">
      <c r="N738" s="190"/>
    </row>
    <row r="739" ht="19.5" customHeight="1">
      <c r="N739" s="190"/>
    </row>
    <row r="740" ht="19.5" customHeight="1">
      <c r="N740" s="190"/>
    </row>
    <row r="741" ht="19.5" customHeight="1">
      <c r="N741" s="190"/>
    </row>
    <row r="742" ht="19.5" customHeight="1">
      <c r="N742" s="190"/>
    </row>
    <row r="743" ht="19.5" customHeight="1">
      <c r="N743" s="190"/>
    </row>
    <row r="744" ht="19.5" customHeight="1">
      <c r="N744" s="190"/>
    </row>
    <row r="745" ht="19.5" customHeight="1">
      <c r="N745" s="190"/>
    </row>
    <row r="746" ht="19.5" customHeight="1">
      <c r="N746" s="190"/>
    </row>
    <row r="747" ht="19.5" customHeight="1">
      <c r="N747" s="190"/>
    </row>
    <row r="748" ht="19.5" customHeight="1">
      <c r="N748" s="190"/>
    </row>
    <row r="749" ht="19.5" customHeight="1">
      <c r="N749" s="190"/>
    </row>
    <row r="750" ht="19.5" customHeight="1">
      <c r="N750" s="190"/>
    </row>
    <row r="751" ht="19.5" customHeight="1">
      <c r="N751" s="190"/>
    </row>
    <row r="752" ht="19.5" customHeight="1">
      <c r="N752" s="190"/>
    </row>
    <row r="753" ht="19.5" customHeight="1">
      <c r="N753" s="190"/>
    </row>
    <row r="754" ht="19.5" customHeight="1">
      <c r="N754" s="190"/>
    </row>
    <row r="755" ht="19.5" customHeight="1">
      <c r="N755" s="190"/>
    </row>
    <row r="756" ht="19.5" customHeight="1">
      <c r="N756" s="190"/>
    </row>
    <row r="757" ht="19.5" customHeight="1">
      <c r="N757" s="190"/>
    </row>
    <row r="758" ht="19.5" customHeight="1">
      <c r="N758" s="190"/>
    </row>
    <row r="759" ht="19.5" customHeight="1">
      <c r="N759" s="190"/>
    </row>
    <row r="760" ht="19.5" customHeight="1">
      <c r="N760" s="190"/>
    </row>
    <row r="761" ht="19.5" customHeight="1">
      <c r="N761" s="190"/>
    </row>
    <row r="762" ht="19.5" customHeight="1">
      <c r="N762" s="190"/>
    </row>
    <row r="763" ht="19.5" customHeight="1">
      <c r="N763" s="190"/>
    </row>
    <row r="764" ht="19.5" customHeight="1">
      <c r="N764" s="190"/>
    </row>
    <row r="765" ht="19.5" customHeight="1">
      <c r="N765" s="190"/>
    </row>
    <row r="766" ht="19.5" customHeight="1">
      <c r="N766" s="190"/>
    </row>
    <row r="767" ht="19.5" customHeight="1">
      <c r="N767" s="190"/>
    </row>
    <row r="768" ht="19.5" customHeight="1">
      <c r="N768" s="190"/>
    </row>
    <row r="769" ht="19.5" customHeight="1">
      <c r="N769" s="190"/>
    </row>
    <row r="770" ht="19.5" customHeight="1">
      <c r="N770" s="190"/>
    </row>
    <row r="771" ht="19.5" customHeight="1">
      <c r="N771" s="190"/>
    </row>
    <row r="772" ht="19.5" customHeight="1">
      <c r="N772" s="190"/>
    </row>
    <row r="773" ht="19.5" customHeight="1">
      <c r="N773" s="190"/>
    </row>
    <row r="774" ht="19.5" customHeight="1">
      <c r="N774" s="190"/>
    </row>
    <row r="775" ht="19.5" customHeight="1">
      <c r="N775" s="190"/>
    </row>
    <row r="776" ht="19.5" customHeight="1">
      <c r="N776" s="190"/>
    </row>
    <row r="777" ht="19.5" customHeight="1">
      <c r="N777" s="190"/>
    </row>
    <row r="778" ht="19.5" customHeight="1">
      <c r="N778" s="190"/>
    </row>
    <row r="779" ht="19.5" customHeight="1">
      <c r="N779" s="190"/>
    </row>
    <row r="780" ht="19.5" customHeight="1">
      <c r="N780" s="190"/>
    </row>
    <row r="781" ht="19.5" customHeight="1">
      <c r="N781" s="190"/>
    </row>
    <row r="782" ht="19.5" customHeight="1">
      <c r="N782" s="190"/>
    </row>
    <row r="783" ht="19.5" customHeight="1">
      <c r="N783" s="190"/>
    </row>
    <row r="784" ht="19.5" customHeight="1">
      <c r="N784" s="190"/>
    </row>
    <row r="785" ht="19.5" customHeight="1">
      <c r="N785" s="190"/>
    </row>
    <row r="786" ht="19.5" customHeight="1">
      <c r="N786" s="190"/>
    </row>
    <row r="787" ht="19.5" customHeight="1">
      <c r="N787" s="190"/>
    </row>
    <row r="788" ht="19.5" customHeight="1">
      <c r="N788" s="190"/>
    </row>
    <row r="789" ht="19.5" customHeight="1">
      <c r="N789" s="190"/>
    </row>
    <row r="790" ht="19.5" customHeight="1">
      <c r="N790" s="190"/>
    </row>
    <row r="791" ht="19.5" customHeight="1">
      <c r="N791" s="190"/>
    </row>
    <row r="792" ht="19.5" customHeight="1">
      <c r="N792" s="190"/>
    </row>
    <row r="793" ht="19.5" customHeight="1">
      <c r="N793" s="190"/>
    </row>
    <row r="794" ht="19.5" customHeight="1">
      <c r="N794" s="190"/>
    </row>
    <row r="795" ht="19.5" customHeight="1">
      <c r="N795" s="190"/>
    </row>
    <row r="796" ht="19.5" customHeight="1">
      <c r="N796" s="190"/>
    </row>
    <row r="797" ht="19.5" customHeight="1">
      <c r="N797" s="190"/>
    </row>
    <row r="798" ht="19.5" customHeight="1">
      <c r="N798" s="190"/>
    </row>
    <row r="799" ht="19.5" customHeight="1">
      <c r="N799" s="190"/>
    </row>
    <row r="800" ht="19.5" customHeight="1">
      <c r="N800" s="190"/>
    </row>
    <row r="801" ht="19.5" customHeight="1">
      <c r="N801" s="190"/>
    </row>
    <row r="802" ht="19.5" customHeight="1">
      <c r="N802" s="190"/>
    </row>
    <row r="803" ht="19.5" customHeight="1">
      <c r="N803" s="190"/>
    </row>
    <row r="804" ht="19.5" customHeight="1">
      <c r="N804" s="190"/>
    </row>
    <row r="805" ht="19.5" customHeight="1">
      <c r="N805" s="190"/>
    </row>
    <row r="806" ht="19.5" customHeight="1">
      <c r="N806" s="190"/>
    </row>
    <row r="807" ht="19.5" customHeight="1">
      <c r="N807" s="190"/>
    </row>
    <row r="808" ht="19.5" customHeight="1">
      <c r="N808" s="190"/>
    </row>
    <row r="809" ht="19.5" customHeight="1">
      <c r="N809" s="190"/>
    </row>
    <row r="810" ht="19.5" customHeight="1">
      <c r="N810" s="190"/>
    </row>
    <row r="811" ht="19.5" customHeight="1">
      <c r="N811" s="190"/>
    </row>
    <row r="812" ht="19.5" customHeight="1">
      <c r="N812" s="190"/>
    </row>
    <row r="813" ht="19.5" customHeight="1">
      <c r="N813" s="190"/>
    </row>
    <row r="814" ht="19.5" customHeight="1">
      <c r="N814" s="190"/>
    </row>
    <row r="815" ht="19.5" customHeight="1">
      <c r="N815" s="190"/>
    </row>
    <row r="816" ht="19.5" customHeight="1">
      <c r="N816" s="190"/>
    </row>
    <row r="817" ht="19.5" customHeight="1">
      <c r="N817" s="190"/>
    </row>
    <row r="818" ht="19.5" customHeight="1">
      <c r="N818" s="190"/>
    </row>
    <row r="819" ht="19.5" customHeight="1">
      <c r="N819" s="190"/>
    </row>
    <row r="820" ht="19.5" customHeight="1">
      <c r="N820" s="190"/>
    </row>
    <row r="821" ht="19.5" customHeight="1">
      <c r="N821" s="190"/>
    </row>
    <row r="822" ht="19.5" customHeight="1">
      <c r="N822" s="190"/>
    </row>
    <row r="823" ht="19.5" customHeight="1">
      <c r="N823" s="190"/>
    </row>
    <row r="824" ht="19.5" customHeight="1">
      <c r="N824" s="190"/>
    </row>
    <row r="825" ht="19.5" customHeight="1">
      <c r="N825" s="190"/>
    </row>
    <row r="826" ht="19.5" customHeight="1">
      <c r="N826" s="190"/>
    </row>
    <row r="827" ht="19.5" customHeight="1">
      <c r="N827" s="190"/>
    </row>
    <row r="828" ht="19.5" customHeight="1">
      <c r="N828" s="190"/>
    </row>
    <row r="829" ht="19.5" customHeight="1">
      <c r="N829" s="190"/>
    </row>
    <row r="830" ht="19.5" customHeight="1">
      <c r="N830" s="190"/>
    </row>
    <row r="831" ht="19.5" customHeight="1">
      <c r="N831" s="190"/>
    </row>
    <row r="832" ht="19.5" customHeight="1">
      <c r="N832" s="190"/>
    </row>
    <row r="833" ht="19.5" customHeight="1">
      <c r="N833" s="190"/>
    </row>
    <row r="834" ht="19.5" customHeight="1">
      <c r="N834" s="190"/>
    </row>
    <row r="835" ht="19.5" customHeight="1">
      <c r="N835" s="190"/>
    </row>
    <row r="836" ht="19.5" customHeight="1">
      <c r="N836" s="190"/>
    </row>
    <row r="837" ht="19.5" customHeight="1">
      <c r="N837" s="190"/>
    </row>
    <row r="838" ht="19.5" customHeight="1">
      <c r="N838" s="190"/>
    </row>
    <row r="839" ht="19.5" customHeight="1">
      <c r="N839" s="190"/>
    </row>
    <row r="840" ht="19.5" customHeight="1">
      <c r="N840" s="190"/>
    </row>
    <row r="841" ht="19.5" customHeight="1">
      <c r="N841" s="190"/>
    </row>
    <row r="842" ht="19.5" customHeight="1">
      <c r="N842" s="190"/>
    </row>
    <row r="843" ht="19.5" customHeight="1">
      <c r="N843" s="190"/>
    </row>
    <row r="844" ht="19.5" customHeight="1">
      <c r="N844" s="190"/>
    </row>
    <row r="845" ht="19.5" customHeight="1">
      <c r="N845" s="190"/>
    </row>
    <row r="846" ht="19.5" customHeight="1">
      <c r="N846" s="190"/>
    </row>
    <row r="847" ht="19.5" customHeight="1">
      <c r="N847" s="190"/>
    </row>
    <row r="848" ht="19.5" customHeight="1">
      <c r="N848" s="190"/>
    </row>
    <row r="849" ht="19.5" customHeight="1">
      <c r="N849" s="190"/>
    </row>
    <row r="850" ht="19.5" customHeight="1">
      <c r="N850" s="190"/>
    </row>
    <row r="851" ht="19.5" customHeight="1">
      <c r="N851" s="190"/>
    </row>
    <row r="852" ht="19.5" customHeight="1">
      <c r="N852" s="190"/>
    </row>
    <row r="853" ht="19.5" customHeight="1">
      <c r="N853" s="190"/>
    </row>
    <row r="854" ht="19.5" customHeight="1">
      <c r="N854" s="190"/>
    </row>
    <row r="855" ht="19.5" customHeight="1">
      <c r="N855" s="190"/>
    </row>
    <row r="856" ht="19.5" customHeight="1">
      <c r="N856" s="190"/>
    </row>
    <row r="857" ht="19.5" customHeight="1">
      <c r="N857" s="190"/>
    </row>
    <row r="858" ht="19.5" customHeight="1">
      <c r="N858" s="190"/>
    </row>
    <row r="859" ht="19.5" customHeight="1">
      <c r="N859" s="190"/>
    </row>
    <row r="860" ht="19.5" customHeight="1">
      <c r="N860" s="190"/>
    </row>
    <row r="861" ht="19.5" customHeight="1">
      <c r="N861" s="190"/>
    </row>
    <row r="862" ht="19.5" customHeight="1">
      <c r="N862" s="190"/>
    </row>
    <row r="863" ht="19.5" customHeight="1">
      <c r="N863" s="190"/>
    </row>
    <row r="864" ht="19.5" customHeight="1">
      <c r="N864" s="190"/>
    </row>
    <row r="865" ht="19.5" customHeight="1">
      <c r="N865" s="190"/>
    </row>
    <row r="866" ht="19.5" customHeight="1">
      <c r="N866" s="190"/>
    </row>
    <row r="867" ht="19.5" customHeight="1">
      <c r="N867" s="190"/>
    </row>
    <row r="868" ht="19.5" customHeight="1">
      <c r="N868" s="190"/>
    </row>
    <row r="869" ht="19.5" customHeight="1">
      <c r="N869" s="190"/>
    </row>
    <row r="870" ht="19.5" customHeight="1">
      <c r="N870" s="190"/>
    </row>
    <row r="871" ht="19.5" customHeight="1">
      <c r="N871" s="190"/>
    </row>
    <row r="872" ht="19.5" customHeight="1">
      <c r="N872" s="190"/>
    </row>
    <row r="873" ht="19.5" customHeight="1">
      <c r="N873" s="190"/>
    </row>
    <row r="874" ht="19.5" customHeight="1">
      <c r="N874" s="190"/>
    </row>
    <row r="875" ht="19.5" customHeight="1">
      <c r="N875" s="190"/>
    </row>
    <row r="876" ht="19.5" customHeight="1">
      <c r="N876" s="190"/>
    </row>
    <row r="877" ht="19.5" customHeight="1">
      <c r="N877" s="190"/>
    </row>
    <row r="878" ht="19.5" customHeight="1">
      <c r="N878" s="190"/>
    </row>
    <row r="879" ht="19.5" customHeight="1">
      <c r="N879" s="190"/>
    </row>
    <row r="880" ht="19.5" customHeight="1">
      <c r="N880" s="190"/>
    </row>
    <row r="881" ht="19.5" customHeight="1">
      <c r="N881" s="190"/>
    </row>
    <row r="882" ht="19.5" customHeight="1">
      <c r="N882" s="190"/>
    </row>
    <row r="883" ht="19.5" customHeight="1">
      <c r="N883" s="190"/>
    </row>
    <row r="884" ht="19.5" customHeight="1">
      <c r="N884" s="190"/>
    </row>
    <row r="885" ht="19.5" customHeight="1">
      <c r="N885" s="190"/>
    </row>
    <row r="886" ht="19.5" customHeight="1">
      <c r="N886" s="190"/>
    </row>
    <row r="887" ht="19.5" customHeight="1">
      <c r="N887" s="190"/>
    </row>
    <row r="888" ht="19.5" customHeight="1">
      <c r="N888" s="190"/>
    </row>
    <row r="889" ht="19.5" customHeight="1">
      <c r="N889" s="190"/>
    </row>
    <row r="890" ht="19.5" customHeight="1">
      <c r="N890" s="190"/>
    </row>
    <row r="891" ht="19.5" customHeight="1">
      <c r="N891" s="190"/>
    </row>
    <row r="892" ht="19.5" customHeight="1">
      <c r="N892" s="190"/>
    </row>
    <row r="893" ht="19.5" customHeight="1">
      <c r="N893" s="190"/>
    </row>
    <row r="894" ht="19.5" customHeight="1">
      <c r="N894" s="190"/>
    </row>
    <row r="895" ht="19.5" customHeight="1">
      <c r="N895" s="190"/>
    </row>
    <row r="896" ht="19.5" customHeight="1">
      <c r="N896" s="190"/>
    </row>
    <row r="897" ht="19.5" customHeight="1">
      <c r="N897" s="190"/>
    </row>
    <row r="898" ht="19.5" customHeight="1">
      <c r="N898" s="190"/>
    </row>
    <row r="899" ht="19.5" customHeight="1">
      <c r="N899" s="190"/>
    </row>
    <row r="900" ht="19.5" customHeight="1">
      <c r="N900" s="190"/>
    </row>
    <row r="901" ht="19.5" customHeight="1">
      <c r="N901" s="190"/>
    </row>
    <row r="902" ht="19.5" customHeight="1">
      <c r="N902" s="190"/>
    </row>
    <row r="903" ht="19.5" customHeight="1">
      <c r="N903" s="190"/>
    </row>
    <row r="904" ht="19.5" customHeight="1">
      <c r="N904" s="190"/>
    </row>
    <row r="905" ht="19.5" customHeight="1">
      <c r="N905" s="190"/>
    </row>
    <row r="906" ht="19.5" customHeight="1">
      <c r="N906" s="190"/>
    </row>
    <row r="907" ht="19.5" customHeight="1">
      <c r="N907" s="190"/>
    </row>
    <row r="908" ht="19.5" customHeight="1">
      <c r="N908" s="190"/>
    </row>
    <row r="909" ht="19.5" customHeight="1">
      <c r="N909" s="190"/>
    </row>
    <row r="910" ht="19.5" customHeight="1">
      <c r="N910" s="190"/>
    </row>
    <row r="911" ht="19.5" customHeight="1">
      <c r="N911" s="190"/>
    </row>
    <row r="912" ht="19.5" customHeight="1">
      <c r="N912" s="190"/>
    </row>
    <row r="913" ht="19.5" customHeight="1">
      <c r="N913" s="190"/>
    </row>
    <row r="914" ht="19.5" customHeight="1">
      <c r="N914" s="190"/>
    </row>
    <row r="915" ht="19.5" customHeight="1">
      <c r="N915" s="190"/>
    </row>
    <row r="916" ht="19.5" customHeight="1">
      <c r="N916" s="190"/>
    </row>
    <row r="917" ht="19.5" customHeight="1">
      <c r="N917" s="190"/>
    </row>
    <row r="918" ht="19.5" customHeight="1">
      <c r="N918" s="190"/>
    </row>
    <row r="919" ht="19.5" customHeight="1">
      <c r="N919" s="190"/>
    </row>
    <row r="920" ht="19.5" customHeight="1">
      <c r="N920" s="190"/>
    </row>
    <row r="921" ht="19.5" customHeight="1">
      <c r="N921" s="190"/>
    </row>
    <row r="922" ht="19.5" customHeight="1">
      <c r="N922" s="190"/>
    </row>
    <row r="923" ht="19.5" customHeight="1">
      <c r="N923" s="190"/>
    </row>
    <row r="924" ht="19.5" customHeight="1">
      <c r="N924" s="190"/>
    </row>
    <row r="925" ht="19.5" customHeight="1">
      <c r="N925" s="190"/>
    </row>
    <row r="926" ht="19.5" customHeight="1">
      <c r="N926" s="190"/>
    </row>
    <row r="927" ht="19.5" customHeight="1">
      <c r="N927" s="190"/>
    </row>
    <row r="928" ht="19.5" customHeight="1">
      <c r="N928" s="190"/>
    </row>
    <row r="929" ht="19.5" customHeight="1">
      <c r="N929" s="190"/>
    </row>
    <row r="930" ht="19.5" customHeight="1">
      <c r="N930" s="190"/>
    </row>
    <row r="931" ht="19.5" customHeight="1">
      <c r="N931" s="190"/>
    </row>
    <row r="932" ht="19.5" customHeight="1">
      <c r="N932" s="190"/>
    </row>
    <row r="933" ht="19.5" customHeight="1">
      <c r="N933" s="190"/>
    </row>
    <row r="934" ht="19.5" customHeight="1">
      <c r="N934" s="190"/>
    </row>
    <row r="935" ht="19.5" customHeight="1">
      <c r="N935" s="190"/>
    </row>
    <row r="936" ht="19.5" customHeight="1">
      <c r="N936" s="190"/>
    </row>
    <row r="937" ht="19.5" customHeight="1">
      <c r="N937" s="190"/>
    </row>
    <row r="938" ht="19.5" customHeight="1">
      <c r="N938" s="190"/>
    </row>
    <row r="939" ht="19.5" customHeight="1">
      <c r="N939" s="190"/>
    </row>
    <row r="940" ht="19.5" customHeight="1">
      <c r="N940" s="190"/>
    </row>
    <row r="941" ht="19.5" customHeight="1">
      <c r="N941" s="190"/>
    </row>
    <row r="942" ht="19.5" customHeight="1">
      <c r="N942" s="190"/>
    </row>
    <row r="943" ht="19.5" customHeight="1">
      <c r="N943" s="190"/>
    </row>
    <row r="944" ht="19.5" customHeight="1">
      <c r="N944" s="190"/>
    </row>
    <row r="945" ht="19.5" customHeight="1">
      <c r="N945" s="190"/>
    </row>
    <row r="946" ht="19.5" customHeight="1">
      <c r="N946" s="190"/>
    </row>
    <row r="947" ht="19.5" customHeight="1">
      <c r="N947" s="190"/>
    </row>
    <row r="948" ht="19.5" customHeight="1">
      <c r="N948" s="190"/>
    </row>
    <row r="949" ht="19.5" customHeight="1">
      <c r="N949" s="190"/>
    </row>
    <row r="950" ht="19.5" customHeight="1">
      <c r="N950" s="190"/>
    </row>
    <row r="951" ht="19.5" customHeight="1">
      <c r="N951" s="190"/>
    </row>
    <row r="952" ht="19.5" customHeight="1">
      <c r="N952" s="190"/>
    </row>
    <row r="953" ht="19.5" customHeight="1">
      <c r="N953" s="190"/>
    </row>
    <row r="954" ht="19.5" customHeight="1">
      <c r="N954" s="190"/>
    </row>
    <row r="955" ht="19.5" customHeight="1">
      <c r="N955" s="190"/>
    </row>
    <row r="956" ht="19.5" customHeight="1">
      <c r="N956" s="190"/>
    </row>
    <row r="957" ht="19.5" customHeight="1">
      <c r="N957" s="190"/>
    </row>
    <row r="958" ht="19.5" customHeight="1">
      <c r="N958" s="190"/>
    </row>
    <row r="959" ht="19.5" customHeight="1">
      <c r="N959" s="190"/>
    </row>
    <row r="960" ht="19.5" customHeight="1">
      <c r="N960" s="190"/>
    </row>
    <row r="961" ht="19.5" customHeight="1">
      <c r="N961" s="190"/>
    </row>
    <row r="962" ht="19.5" customHeight="1">
      <c r="N962" s="190"/>
    </row>
    <row r="963" ht="19.5" customHeight="1">
      <c r="N963" s="190"/>
    </row>
    <row r="964" ht="19.5" customHeight="1">
      <c r="N964" s="190"/>
    </row>
    <row r="965" ht="19.5" customHeight="1">
      <c r="N965" s="190"/>
    </row>
    <row r="966" ht="19.5" customHeight="1">
      <c r="N966" s="190"/>
    </row>
    <row r="967" ht="19.5" customHeight="1">
      <c r="N967" s="190"/>
    </row>
    <row r="968" ht="19.5" customHeight="1">
      <c r="N968" s="190"/>
    </row>
    <row r="969" ht="19.5" customHeight="1">
      <c r="N969" s="190"/>
    </row>
    <row r="970" ht="19.5" customHeight="1">
      <c r="N970" s="190"/>
    </row>
    <row r="971" ht="19.5" customHeight="1">
      <c r="N971" s="190"/>
    </row>
    <row r="972" ht="19.5" customHeight="1">
      <c r="N972" s="190"/>
    </row>
    <row r="973" ht="19.5" customHeight="1">
      <c r="N973" s="190"/>
    </row>
    <row r="974" ht="19.5" customHeight="1">
      <c r="N974" s="190"/>
    </row>
    <row r="975" ht="19.5" customHeight="1">
      <c r="N975" s="190"/>
    </row>
    <row r="976" ht="19.5" customHeight="1">
      <c r="N976" s="190"/>
    </row>
    <row r="977" ht="19.5" customHeight="1">
      <c r="N977" s="190"/>
    </row>
    <row r="978" ht="19.5" customHeight="1">
      <c r="N978" s="190"/>
    </row>
    <row r="979" ht="19.5" customHeight="1">
      <c r="N979" s="190"/>
    </row>
    <row r="980" ht="19.5" customHeight="1">
      <c r="N980" s="190"/>
    </row>
    <row r="981" ht="19.5" customHeight="1">
      <c r="N981" s="190"/>
    </row>
    <row r="982" ht="19.5" customHeight="1">
      <c r="N982" s="190"/>
    </row>
    <row r="983" ht="19.5" customHeight="1">
      <c r="N983" s="190"/>
    </row>
    <row r="984" ht="19.5" customHeight="1">
      <c r="N984" s="190"/>
    </row>
    <row r="985" ht="19.5" customHeight="1">
      <c r="N985" s="190"/>
    </row>
    <row r="986" ht="19.5" customHeight="1">
      <c r="N986" s="190"/>
    </row>
    <row r="987" ht="19.5" customHeight="1">
      <c r="N987" s="190"/>
    </row>
    <row r="988" ht="19.5" customHeight="1">
      <c r="N988" s="190"/>
    </row>
    <row r="989" ht="19.5" customHeight="1">
      <c r="N989" s="190"/>
    </row>
    <row r="990" ht="19.5" customHeight="1">
      <c r="N990" s="190"/>
    </row>
    <row r="991" ht="19.5" customHeight="1">
      <c r="N991" s="190"/>
    </row>
    <row r="992" ht="19.5" customHeight="1">
      <c r="N992" s="190"/>
    </row>
    <row r="993" ht="19.5" customHeight="1">
      <c r="N993" s="190"/>
    </row>
    <row r="994" ht="19.5" customHeight="1">
      <c r="N994" s="190"/>
    </row>
    <row r="995" ht="19.5" customHeight="1">
      <c r="N995" s="190"/>
    </row>
    <row r="996" ht="19.5" customHeight="1">
      <c r="N996" s="190"/>
    </row>
    <row r="997" ht="19.5" customHeight="1">
      <c r="N997" s="190"/>
    </row>
    <row r="998" ht="19.5" customHeight="1">
      <c r="N998" s="190"/>
    </row>
    <row r="999" ht="19.5" customHeight="1">
      <c r="N999" s="190"/>
    </row>
    <row r="1000" ht="19.5" customHeight="1">
      <c r="N1000" s="190"/>
    </row>
  </sheetData>
  <mergeCells count="18">
    <mergeCell ref="F15:H15"/>
    <mergeCell ref="F16:H16"/>
    <mergeCell ref="I24:I26"/>
    <mergeCell ref="D7:F7"/>
    <mergeCell ref="D11:F11"/>
    <mergeCell ref="C28:E28"/>
    <mergeCell ref="C27:E27"/>
    <mergeCell ref="C30:E30"/>
    <mergeCell ref="C24:E26"/>
    <mergeCell ref="G24:G26"/>
    <mergeCell ref="F24:F26"/>
    <mergeCell ref="D3:F3"/>
    <mergeCell ref="G4:G6"/>
    <mergeCell ref="K4:K6"/>
    <mergeCell ref="C4:C6"/>
    <mergeCell ref="F17:H17"/>
    <mergeCell ref="F18:H18"/>
    <mergeCell ref="F14:H1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2" t="s">
        <v>2</v>
      </c>
      <c r="N1" s="10">
        <v>1200.0</v>
      </c>
    </row>
    <row r="2" ht="19.5" customHeight="1">
      <c r="B2" s="4" t="s">
        <v>3</v>
      </c>
      <c r="C2" s="6">
        <v>1.0</v>
      </c>
      <c r="D2" s="6">
        <v>2.0</v>
      </c>
      <c r="E2" s="6">
        <v>3.0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8" t="s">
        <v>9</v>
      </c>
      <c r="M2" s="9" t="s">
        <v>10</v>
      </c>
      <c r="N2" s="28">
        <v>116.0</v>
      </c>
    </row>
    <row r="3" ht="19.5" customHeight="1">
      <c r="A3" t="s">
        <v>11</v>
      </c>
      <c r="B3" s="13">
        <v>1.0</v>
      </c>
      <c r="C3" s="15"/>
      <c r="D3" s="18">
        <f>K3-sum(G3:J3)</f>
        <v>2.157894737</v>
      </c>
      <c r="E3" s="20"/>
      <c r="F3" s="22"/>
      <c r="G3" s="26">
        <f>(N17-(N15-(N16-N13)))</f>
        <v>-7</v>
      </c>
      <c r="H3" s="36">
        <f>0/13*H11</f>
        <v>0</v>
      </c>
      <c r="I3" s="36">
        <f>2/19*I11</f>
        <v>0.8421052632</v>
      </c>
      <c r="J3" s="39">
        <f>7/31*J11</f>
        <v>14</v>
      </c>
      <c r="K3" s="199">
        <f>(N14-N12)+(N17-(N15-(N16-N13)))</f>
        <v>10</v>
      </c>
      <c r="M3" s="9" t="s">
        <v>16</v>
      </c>
      <c r="N3" s="28">
        <v>123.0</v>
      </c>
    </row>
    <row r="4" ht="19.5" customHeight="1">
      <c r="B4" s="13">
        <v>2.0</v>
      </c>
      <c r="C4" s="43">
        <f>C11-sum(C7:C10)</f>
        <v>24.06285714</v>
      </c>
      <c r="D4" s="45"/>
      <c r="E4" s="45"/>
      <c r="F4" s="47"/>
      <c r="G4" s="49">
        <f>G11-G3-sum(G8:G10)</f>
        <v>125.99</v>
      </c>
      <c r="H4" s="36">
        <f>2/13*H11</f>
        <v>1.076923077</v>
      </c>
      <c r="I4" s="36">
        <f>2/19*I11</f>
        <v>0.8421052632</v>
      </c>
      <c r="J4" s="39">
        <f>4/31*J11</f>
        <v>8</v>
      </c>
      <c r="K4" s="52">
        <f>sum(C4:J6)</f>
        <v>179.7289705</v>
      </c>
      <c r="M4" s="9" t="s">
        <v>17</v>
      </c>
      <c r="N4" s="28">
        <v>39.0</v>
      </c>
    </row>
    <row r="5" ht="19.5" customHeight="1">
      <c r="B5" s="13">
        <v>3.0</v>
      </c>
      <c r="C5" s="54"/>
      <c r="D5" s="55"/>
      <c r="E5" s="55">
        <v>0.0</v>
      </c>
      <c r="F5" s="55"/>
      <c r="G5" s="54"/>
      <c r="H5" s="36">
        <f>6/13*H11</f>
        <v>3.230769231</v>
      </c>
      <c r="I5" s="36">
        <f>5/19*I11</f>
        <v>2.105263158</v>
      </c>
      <c r="J5" s="39">
        <f>5/31*J11</f>
        <v>10</v>
      </c>
      <c r="K5" s="54"/>
      <c r="M5" s="9" t="s">
        <v>18</v>
      </c>
      <c r="N5" s="28">
        <v>33.0</v>
      </c>
    </row>
    <row r="6" ht="19.5" customHeight="1">
      <c r="B6" s="13" t="s">
        <v>4</v>
      </c>
      <c r="C6" s="22"/>
      <c r="D6" s="47"/>
      <c r="E6" s="45"/>
      <c r="F6" s="45"/>
      <c r="G6" s="22"/>
      <c r="H6" s="36">
        <f>0/13*H11</f>
        <v>0</v>
      </c>
      <c r="I6" s="36">
        <f>1/19*I11</f>
        <v>0.4210526316</v>
      </c>
      <c r="J6" s="39">
        <f>2/31*J11</f>
        <v>4</v>
      </c>
      <c r="K6" s="22"/>
      <c r="M6" s="9" t="s">
        <v>19</v>
      </c>
      <c r="N6" s="28">
        <v>42.0</v>
      </c>
    </row>
    <row r="7" ht="19.5" customHeight="1">
      <c r="B7" s="13" t="s">
        <v>5</v>
      </c>
      <c r="C7" s="60">
        <f>N13</f>
        <v>71</v>
      </c>
      <c r="D7" s="18">
        <f>K7-C7-sum(H7:J7)</f>
        <v>171.8947368</v>
      </c>
      <c r="E7" s="20"/>
      <c r="F7" s="22"/>
      <c r="G7" s="15"/>
      <c r="H7" s="36">
        <f>0/13*H11</f>
        <v>0</v>
      </c>
      <c r="I7" s="36">
        <f>5/19*I11</f>
        <v>2.105263158</v>
      </c>
      <c r="J7" s="39">
        <f>4/31*J11</f>
        <v>8</v>
      </c>
      <c r="K7" s="60">
        <f>N12+N13</f>
        <v>253</v>
      </c>
      <c r="M7" s="9" t="s">
        <v>20</v>
      </c>
      <c r="N7" s="28">
        <v>32.0</v>
      </c>
    </row>
    <row r="8" ht="19.5" customHeight="1">
      <c r="B8" s="13" t="s">
        <v>6</v>
      </c>
      <c r="C8" s="36">
        <f>1/25*K8</f>
        <v>1.88</v>
      </c>
      <c r="D8" s="36">
        <f>4/25*K8</f>
        <v>7.52</v>
      </c>
      <c r="E8" s="36">
        <f>11/25*K8</f>
        <v>20.68</v>
      </c>
      <c r="F8" s="36">
        <f>1/25*K8</f>
        <v>1.88</v>
      </c>
      <c r="G8" s="36">
        <f>2/25*K8</f>
        <v>3.76</v>
      </c>
      <c r="H8" s="15"/>
      <c r="I8" s="36">
        <f>3/25*K8</f>
        <v>5.64</v>
      </c>
      <c r="J8" s="39">
        <f>3/25*K8</f>
        <v>5.64</v>
      </c>
      <c r="K8" s="66">
        <f>N8</f>
        <v>47</v>
      </c>
      <c r="M8" s="68" t="s">
        <v>21</v>
      </c>
      <c r="N8" s="63">
        <v>47.0</v>
      </c>
    </row>
    <row r="9" ht="19.5" customHeight="1">
      <c r="B9" s="13" t="s">
        <v>7</v>
      </c>
      <c r="C9" s="36">
        <f>0/20*K9</f>
        <v>0</v>
      </c>
      <c r="D9" s="36">
        <f>4/20*K9</f>
        <v>6.6</v>
      </c>
      <c r="E9" s="36">
        <f>8/20*K9</f>
        <v>13.2</v>
      </c>
      <c r="F9" s="36">
        <f>0/20*K9</f>
        <v>0</v>
      </c>
      <c r="G9" s="36">
        <f>1/20*K9</f>
        <v>1.65</v>
      </c>
      <c r="H9" s="36">
        <f>1/20*K9</f>
        <v>1.65</v>
      </c>
      <c r="I9" s="72"/>
      <c r="J9" s="39">
        <f>6/20*K9</f>
        <v>9.9</v>
      </c>
      <c r="K9" s="66">
        <f>N10</f>
        <v>33</v>
      </c>
      <c r="M9" s="68" t="s">
        <v>23</v>
      </c>
      <c r="N9" s="63">
        <v>7.0</v>
      </c>
    </row>
    <row r="10" ht="19.5" customHeight="1">
      <c r="B10" s="13" t="s">
        <v>8</v>
      </c>
      <c r="C10" s="74">
        <f>8/35*K10</f>
        <v>10.05714286</v>
      </c>
      <c r="D10" s="74">
        <f>3/35*K10</f>
        <v>3.771428571</v>
      </c>
      <c r="E10" s="74">
        <f>0/35*K10</f>
        <v>0</v>
      </c>
      <c r="F10" s="74">
        <f>5/35*K10</f>
        <v>6.285714286</v>
      </c>
      <c r="G10" s="74">
        <f>14/35*K10</f>
        <v>17.6</v>
      </c>
      <c r="H10" s="74">
        <f>4/35*K10</f>
        <v>5.028571429</v>
      </c>
      <c r="I10" s="74">
        <f>1/35*K10</f>
        <v>1.257142857</v>
      </c>
      <c r="J10" s="78"/>
      <c r="K10" s="66">
        <f>N18</f>
        <v>44</v>
      </c>
      <c r="M10" s="68" t="s">
        <v>25</v>
      </c>
      <c r="N10" s="63">
        <v>33.0</v>
      </c>
    </row>
    <row r="11" ht="19.5" customHeight="1">
      <c r="B11" s="79" t="s">
        <v>9</v>
      </c>
      <c r="C11" s="60">
        <f>N16</f>
        <v>107</v>
      </c>
      <c r="D11" s="81">
        <f>sum(D3:F10)</f>
        <v>233.9897744</v>
      </c>
      <c r="E11" s="20"/>
      <c r="F11" s="22"/>
      <c r="G11" s="60">
        <f>N17</f>
        <v>142</v>
      </c>
      <c r="H11" s="66">
        <f>N9</f>
        <v>7</v>
      </c>
      <c r="I11" s="66">
        <f>N11</f>
        <v>8</v>
      </c>
      <c r="J11" s="66">
        <f>N19</f>
        <v>62</v>
      </c>
      <c r="K11" s="83">
        <f>D14</f>
        <v>566.7289705</v>
      </c>
      <c r="M11" s="68" t="s">
        <v>26</v>
      </c>
      <c r="N11" s="63">
        <v>8.0</v>
      </c>
    </row>
    <row r="12" ht="19.5" customHeight="1">
      <c r="M12" s="9" t="s">
        <v>27</v>
      </c>
      <c r="N12" s="28">
        <v>182.0</v>
      </c>
    </row>
    <row r="13" ht="19.5" customHeight="1">
      <c r="I13" s="86"/>
      <c r="J13" s="86"/>
      <c r="M13" s="9" t="s">
        <v>28</v>
      </c>
      <c r="N13" s="28">
        <v>71.0</v>
      </c>
    </row>
    <row r="14" ht="19.5" customHeight="1">
      <c r="B14" s="87" t="s">
        <v>34</v>
      </c>
      <c r="C14" s="88"/>
      <c r="D14" s="208">
        <f>sum(K3:K10)</f>
        <v>566.7289705</v>
      </c>
      <c r="F14" s="57" t="s">
        <v>37</v>
      </c>
      <c r="G14" s="88"/>
      <c r="H14" s="88"/>
      <c r="I14" s="93">
        <f>sum(C3:F6)/D14</f>
        <v>0.04626682814</v>
      </c>
      <c r="J14" s="90">
        <f t="shared" ref="J14:J19" si="1">$D$14*I14</f>
        <v>26.22075188</v>
      </c>
      <c r="M14" s="9" t="s">
        <v>29</v>
      </c>
      <c r="N14" s="28">
        <v>199.0</v>
      </c>
    </row>
    <row r="15" ht="19.5" customHeight="1">
      <c r="B15" s="95"/>
      <c r="C15" s="20"/>
      <c r="D15" s="97"/>
      <c r="F15" s="9" t="s">
        <v>39</v>
      </c>
      <c r="I15" s="99">
        <f>sum(G7:J10)/D14</f>
        <v>0.1098072989</v>
      </c>
      <c r="J15" s="90">
        <f t="shared" si="1"/>
        <v>62.23097744</v>
      </c>
      <c r="M15" s="9" t="s">
        <v>30</v>
      </c>
      <c r="N15" s="28">
        <v>185.0</v>
      </c>
    </row>
    <row r="16" ht="19.5" customHeight="1">
      <c r="B16" s="9" t="s">
        <v>40</v>
      </c>
      <c r="D16" s="101">
        <f>(N12+N13+N15-N16)/(N12+N13+N15)</f>
        <v>0.7557077626</v>
      </c>
      <c r="E16" s="102"/>
      <c r="F16" s="103" t="s">
        <v>41</v>
      </c>
      <c r="G16" s="105"/>
      <c r="H16" s="105"/>
      <c r="I16" s="107">
        <f>I14+I15</f>
        <v>0.156074127</v>
      </c>
      <c r="J16" s="90">
        <f t="shared" si="1"/>
        <v>88.45172932</v>
      </c>
      <c r="M16" s="9" t="s">
        <v>31</v>
      </c>
      <c r="N16" s="28">
        <v>107.0</v>
      </c>
    </row>
    <row r="17" ht="19.5" customHeight="1">
      <c r="B17" s="9" t="s">
        <v>42</v>
      </c>
      <c r="D17" s="101"/>
      <c r="F17" s="9" t="s">
        <v>43</v>
      </c>
      <c r="I17" s="99">
        <f>sum(C7:F10)/D14</f>
        <v>0.5554136791</v>
      </c>
      <c r="J17" s="90">
        <f t="shared" si="1"/>
        <v>314.7690226</v>
      </c>
      <c r="M17" s="9" t="s">
        <v>32</v>
      </c>
      <c r="N17" s="28">
        <v>142.0</v>
      </c>
    </row>
    <row r="18" ht="19.5" customHeight="1">
      <c r="B18" s="109" t="s">
        <v>45</v>
      </c>
      <c r="C18" s="20"/>
      <c r="D18" s="110"/>
      <c r="F18" s="9" t="s">
        <v>46</v>
      </c>
      <c r="I18" s="99">
        <f>sum(G3:J6)/D14</f>
        <v>0.2885121939</v>
      </c>
      <c r="J18" s="90">
        <f t="shared" si="1"/>
        <v>163.5082186</v>
      </c>
      <c r="M18" s="112" t="s">
        <v>33</v>
      </c>
      <c r="N18" s="63">
        <v>44.0</v>
      </c>
    </row>
    <row r="19" ht="19.5" customHeight="1">
      <c r="B19" s="109" t="s">
        <v>47</v>
      </c>
      <c r="C19" s="117"/>
      <c r="D19" s="119"/>
      <c r="F19" s="103" t="s">
        <v>48</v>
      </c>
      <c r="G19" s="121"/>
      <c r="H19" s="105"/>
      <c r="I19" s="107">
        <f>I17+I18</f>
        <v>0.843925873</v>
      </c>
      <c r="J19" s="124">
        <f t="shared" si="1"/>
        <v>478.2772412</v>
      </c>
      <c r="K19">
        <f>(sum(G24:G27)+sum(C28:F28))/J19</f>
        <v>0.7566421851</v>
      </c>
      <c r="M19" s="112" t="s">
        <v>35</v>
      </c>
      <c r="N19" s="63">
        <v>62.0</v>
      </c>
    </row>
    <row r="20" ht="19.5" customHeight="1">
      <c r="F20" s="109" t="s">
        <v>50</v>
      </c>
      <c r="G20" s="117"/>
      <c r="H20" s="20"/>
      <c r="I20" s="127">
        <f>D14*(I17-I18)</f>
        <v>151.2608039</v>
      </c>
      <c r="J20" s="97"/>
      <c r="M20" s="9" t="s">
        <v>36</v>
      </c>
      <c r="N20" s="28">
        <v>125.0</v>
      </c>
    </row>
    <row r="21" ht="19.5" customHeight="1">
      <c r="M21" s="9" t="s">
        <v>38</v>
      </c>
      <c r="N21" s="98">
        <v>67.0</v>
      </c>
    </row>
    <row r="22" ht="19.5" customHeight="1">
      <c r="B22" s="129"/>
      <c r="C22" s="129"/>
      <c r="D22" s="92"/>
      <c r="M22" s="109" t="s">
        <v>44</v>
      </c>
      <c r="N22" s="209"/>
    </row>
    <row r="23" ht="19.5" customHeight="1">
      <c r="B23" s="133">
        <v>1200.0</v>
      </c>
      <c r="C23" s="134">
        <v>2.0</v>
      </c>
      <c r="D23" s="134">
        <v>3.0</v>
      </c>
      <c r="E23" s="136" t="s">
        <v>4</v>
      </c>
      <c r="F23" s="136">
        <v>1.0</v>
      </c>
      <c r="G23" s="136" t="s">
        <v>5</v>
      </c>
      <c r="H23" s="136" t="s">
        <v>53</v>
      </c>
      <c r="I23" s="137" t="s">
        <v>9</v>
      </c>
      <c r="N23" s="138"/>
    </row>
    <row r="24" ht="19.5" customHeight="1">
      <c r="B24" s="140">
        <v>2.0</v>
      </c>
      <c r="C24" s="142">
        <v>0.0</v>
      </c>
      <c r="D24" s="29"/>
      <c r="E24" s="31"/>
      <c r="F24" s="144">
        <f t="shared" ref="F24:G24" si="2">F30-sum(F27:F29)</f>
        <v>24.06285714</v>
      </c>
      <c r="G24" s="144">
        <f t="shared" si="2"/>
        <v>125.99</v>
      </c>
      <c r="H24" s="148">
        <f t="shared" ref="H24:H26" si="3">sum(H4:J4)</f>
        <v>9.91902834</v>
      </c>
      <c r="I24" s="150">
        <f>sum(C24:H26)</f>
        <v>179.7289705</v>
      </c>
      <c r="M24" s="152" t="s">
        <v>54</v>
      </c>
      <c r="N24" s="210">
        <f>N2+N3</f>
        <v>239</v>
      </c>
    </row>
    <row r="25" ht="19.5" customHeight="1">
      <c r="B25" s="140">
        <v>3.0</v>
      </c>
      <c r="C25" s="64"/>
      <c r="E25" s="54"/>
      <c r="F25" s="157"/>
      <c r="G25" s="157"/>
      <c r="H25" s="159">
        <f t="shared" si="3"/>
        <v>15.33603239</v>
      </c>
      <c r="I25" s="54"/>
      <c r="M25" s="161" t="s">
        <v>55</v>
      </c>
      <c r="N25" s="50">
        <f>N4+N5</f>
        <v>72</v>
      </c>
    </row>
    <row r="26" ht="19.5" customHeight="1">
      <c r="B26" s="140" t="s">
        <v>4</v>
      </c>
      <c r="C26" s="65"/>
      <c r="D26" s="20"/>
      <c r="E26" s="22"/>
      <c r="F26" s="165"/>
      <c r="G26" s="165"/>
      <c r="H26" s="159">
        <f t="shared" si="3"/>
        <v>4.421052632</v>
      </c>
      <c r="I26" s="22"/>
      <c r="M26" s="161" t="s">
        <v>56</v>
      </c>
      <c r="N26" s="50">
        <f>N6+N7</f>
        <v>74</v>
      </c>
    </row>
    <row r="27" ht="19.5" customHeight="1">
      <c r="B27" s="166">
        <v>1.0</v>
      </c>
      <c r="C27" s="169">
        <f>I27-sum(G27:H27)</f>
        <v>2.157894737</v>
      </c>
      <c r="D27" s="105"/>
      <c r="E27" s="172"/>
      <c r="F27" s="174"/>
      <c r="G27" s="211">
        <f>(N17-(N15-(N16-N13)))</f>
        <v>-7</v>
      </c>
      <c r="H27" s="159">
        <f>sum(H3:J3)</f>
        <v>14.84210526</v>
      </c>
      <c r="I27" s="177">
        <f>(N14-N12)+(N17-(N15-(N16-N13)))</f>
        <v>10</v>
      </c>
      <c r="M27" s="161" t="s">
        <v>57</v>
      </c>
      <c r="N27" s="50">
        <f>N8+N9</f>
        <v>54</v>
      </c>
    </row>
    <row r="28" ht="19.5" customHeight="1">
      <c r="B28" s="166" t="s">
        <v>5</v>
      </c>
      <c r="C28" s="169">
        <f>I28-sum(F28:H28)</f>
        <v>171.8947368</v>
      </c>
      <c r="D28" s="105"/>
      <c r="E28" s="172"/>
      <c r="F28" s="176">
        <f>N13</f>
        <v>71</v>
      </c>
      <c r="G28" s="174"/>
      <c r="H28" s="159">
        <f>sum(H7:J7)</f>
        <v>10.10526316</v>
      </c>
      <c r="I28" s="177">
        <f>N12+N13</f>
        <v>253</v>
      </c>
      <c r="M28" s="161" t="s">
        <v>58</v>
      </c>
      <c r="N28" s="50">
        <f>N10+N11</f>
        <v>41</v>
      </c>
    </row>
    <row r="29" ht="19.5" customHeight="1">
      <c r="B29" s="166" t="s">
        <v>53</v>
      </c>
      <c r="C29" s="179">
        <f t="shared" ref="C29:E29" si="4">sum(D8:D10)</f>
        <v>17.89142857</v>
      </c>
      <c r="D29" s="180">
        <f t="shared" si="4"/>
        <v>33.88</v>
      </c>
      <c r="E29" s="180">
        <f t="shared" si="4"/>
        <v>8.165714286</v>
      </c>
      <c r="F29" s="180">
        <f>sum(C8:C10)</f>
        <v>11.93714286</v>
      </c>
      <c r="G29" s="180">
        <f>sum(G8:G10)</f>
        <v>23.01</v>
      </c>
      <c r="H29" s="181">
        <f>sum(H8:J10)</f>
        <v>29.11571429</v>
      </c>
      <c r="I29" s="182">
        <f>sum(C29:H29)</f>
        <v>124</v>
      </c>
      <c r="M29" s="161" t="s">
        <v>59</v>
      </c>
      <c r="N29" s="50">
        <f>N18+N19</f>
        <v>106</v>
      </c>
    </row>
    <row r="30" ht="19.5" customHeight="1">
      <c r="B30" s="137" t="s">
        <v>9</v>
      </c>
      <c r="C30" s="183">
        <f>sum(C24:E29)</f>
        <v>233.9897744</v>
      </c>
      <c r="D30" s="20"/>
      <c r="E30" s="22"/>
      <c r="F30" s="97">
        <f>N16</f>
        <v>107</v>
      </c>
      <c r="G30" s="97">
        <f>N17</f>
        <v>142</v>
      </c>
      <c r="H30" s="127">
        <f>sum(H24:H29)</f>
        <v>83.73919607</v>
      </c>
      <c r="I30" s="184"/>
      <c r="M30" s="161" t="s">
        <v>60</v>
      </c>
      <c r="N30" s="50">
        <f>N14+N15</f>
        <v>384</v>
      </c>
    </row>
    <row r="31" ht="19.5" customHeight="1">
      <c r="M31" s="161" t="s">
        <v>61</v>
      </c>
      <c r="N31" s="50">
        <f>N12+N13+N17</f>
        <v>395</v>
      </c>
    </row>
    <row r="32" ht="19.5" customHeight="1">
      <c r="M32" s="185" t="s">
        <v>62</v>
      </c>
      <c r="N32" s="212">
        <f>N20+N21</f>
        <v>192</v>
      </c>
    </row>
    <row r="33" ht="19.5" customHeight="1">
      <c r="N33" s="138"/>
    </row>
    <row r="34" ht="19.5" customHeight="1">
      <c r="N34" s="138"/>
    </row>
    <row r="35" ht="19.5" customHeight="1">
      <c r="N35" s="138"/>
    </row>
    <row r="36" ht="19.5" customHeight="1">
      <c r="N36" s="138"/>
    </row>
    <row r="37" ht="19.5" customHeight="1">
      <c r="N37" s="138"/>
    </row>
    <row r="38" ht="19.5" customHeight="1">
      <c r="N38" s="138"/>
    </row>
    <row r="39" ht="19.5" customHeight="1">
      <c r="N39" s="138"/>
    </row>
    <row r="40" ht="19.5" customHeight="1">
      <c r="N40" s="138"/>
    </row>
    <row r="41" ht="19.5" customHeight="1">
      <c r="N41" s="138"/>
    </row>
    <row r="42" ht="19.5" customHeight="1">
      <c r="N42" s="138"/>
    </row>
    <row r="43" ht="19.5" customHeight="1">
      <c r="N43" s="138"/>
    </row>
    <row r="44" ht="19.5" customHeight="1">
      <c r="N44" s="138"/>
    </row>
    <row r="45" ht="19.5" customHeight="1">
      <c r="N45" s="138"/>
    </row>
    <row r="46" ht="19.5" customHeight="1">
      <c r="N46" s="138"/>
    </row>
    <row r="47" ht="19.5" customHeight="1">
      <c r="N47" s="138"/>
    </row>
    <row r="48" ht="19.5" customHeight="1">
      <c r="N48" s="138"/>
    </row>
    <row r="49" ht="19.5" customHeight="1">
      <c r="N49" s="190"/>
    </row>
    <row r="50" ht="19.5" customHeight="1">
      <c r="N50" s="190"/>
    </row>
    <row r="51" ht="19.5" customHeight="1">
      <c r="N51" s="190"/>
    </row>
    <row r="52" ht="19.5" customHeight="1">
      <c r="N52" s="190"/>
    </row>
    <row r="53" ht="19.5" customHeight="1">
      <c r="N53" s="190"/>
    </row>
    <row r="54" ht="19.5" customHeight="1">
      <c r="N54" s="190"/>
    </row>
    <row r="55" ht="19.5" customHeight="1">
      <c r="N55" s="190"/>
    </row>
    <row r="56" ht="19.5" customHeight="1">
      <c r="N56" s="190"/>
    </row>
    <row r="57" ht="19.5" customHeight="1">
      <c r="N57" s="190"/>
    </row>
    <row r="58" ht="19.5" customHeight="1">
      <c r="N58" s="190"/>
    </row>
    <row r="59" ht="19.5" customHeight="1">
      <c r="N59" s="190"/>
    </row>
    <row r="60" ht="19.5" customHeight="1">
      <c r="N60" s="190"/>
    </row>
    <row r="61" ht="19.5" customHeight="1">
      <c r="N61" s="190"/>
    </row>
    <row r="62" ht="19.5" customHeight="1">
      <c r="N62" s="190"/>
    </row>
    <row r="63" ht="19.5" customHeight="1">
      <c r="N63" s="190"/>
    </row>
    <row r="64" ht="19.5" customHeight="1">
      <c r="N64" s="190"/>
    </row>
    <row r="65" ht="19.5" customHeight="1">
      <c r="N65" s="190"/>
    </row>
    <row r="66" ht="19.5" customHeight="1">
      <c r="N66" s="190"/>
    </row>
    <row r="67" ht="19.5" customHeight="1">
      <c r="N67" s="190"/>
    </row>
    <row r="68" ht="19.5" customHeight="1">
      <c r="N68" s="190"/>
    </row>
    <row r="69" ht="19.5" customHeight="1">
      <c r="N69" s="190"/>
    </row>
    <row r="70" ht="19.5" customHeight="1">
      <c r="N70" s="190"/>
    </row>
    <row r="71" ht="19.5" customHeight="1">
      <c r="N71" s="190"/>
    </row>
    <row r="72" ht="19.5" customHeight="1">
      <c r="N72" s="190"/>
    </row>
    <row r="73" ht="19.5" customHeight="1">
      <c r="N73" s="190"/>
    </row>
    <row r="74" ht="19.5" customHeight="1">
      <c r="N74" s="190"/>
    </row>
    <row r="75" ht="19.5" customHeight="1">
      <c r="N75" s="190"/>
    </row>
    <row r="76" ht="19.5" customHeight="1">
      <c r="N76" s="190"/>
    </row>
    <row r="77" ht="19.5" customHeight="1">
      <c r="N77" s="190"/>
    </row>
    <row r="78" ht="19.5" customHeight="1">
      <c r="N78" s="190"/>
    </row>
    <row r="79" ht="19.5" customHeight="1">
      <c r="N79" s="190"/>
    </row>
    <row r="80" ht="19.5" customHeight="1">
      <c r="N80" s="190"/>
    </row>
    <row r="81" ht="19.5" customHeight="1">
      <c r="N81" s="190"/>
    </row>
    <row r="82" ht="19.5" customHeight="1">
      <c r="N82" s="190"/>
    </row>
    <row r="83" ht="19.5" customHeight="1">
      <c r="N83" s="190"/>
    </row>
    <row r="84" ht="19.5" customHeight="1">
      <c r="N84" s="190"/>
    </row>
    <row r="85" ht="19.5" customHeight="1">
      <c r="N85" s="190"/>
    </row>
    <row r="86" ht="19.5" customHeight="1">
      <c r="N86" s="190"/>
    </row>
    <row r="87" ht="19.5" customHeight="1">
      <c r="N87" s="190"/>
    </row>
    <row r="88" ht="19.5" customHeight="1">
      <c r="N88" s="190"/>
    </row>
    <row r="89" ht="19.5" customHeight="1">
      <c r="N89" s="190"/>
    </row>
    <row r="90" ht="19.5" customHeight="1">
      <c r="N90" s="190"/>
    </row>
    <row r="91" ht="19.5" customHeight="1">
      <c r="N91" s="190"/>
    </row>
    <row r="92" ht="19.5" customHeight="1">
      <c r="N92" s="190"/>
    </row>
    <row r="93" ht="19.5" customHeight="1">
      <c r="N93" s="190"/>
    </row>
    <row r="94" ht="19.5" customHeight="1">
      <c r="N94" s="190"/>
    </row>
    <row r="95" ht="19.5" customHeight="1">
      <c r="N95" s="190"/>
    </row>
    <row r="96" ht="19.5" customHeight="1">
      <c r="N96" s="190"/>
    </row>
    <row r="97" ht="19.5" customHeight="1">
      <c r="N97" s="190"/>
    </row>
    <row r="98" ht="19.5" customHeight="1">
      <c r="N98" s="190"/>
    </row>
    <row r="99" ht="19.5" customHeight="1">
      <c r="N99" s="190"/>
    </row>
    <row r="100" ht="19.5" customHeight="1">
      <c r="N100" s="190"/>
    </row>
    <row r="101" ht="19.5" customHeight="1">
      <c r="N101" s="190"/>
    </row>
    <row r="102" ht="19.5" customHeight="1">
      <c r="N102" s="190"/>
    </row>
    <row r="103" ht="19.5" customHeight="1">
      <c r="N103" s="190"/>
    </row>
    <row r="104" ht="19.5" customHeight="1">
      <c r="N104" s="190"/>
    </row>
    <row r="105" ht="19.5" customHeight="1">
      <c r="N105" s="190"/>
    </row>
    <row r="106" ht="19.5" customHeight="1">
      <c r="N106" s="190"/>
    </row>
    <row r="107" ht="19.5" customHeight="1">
      <c r="N107" s="190"/>
    </row>
    <row r="108" ht="19.5" customHeight="1">
      <c r="N108" s="190"/>
    </row>
    <row r="109" ht="19.5" customHeight="1">
      <c r="N109" s="190"/>
    </row>
    <row r="110" ht="19.5" customHeight="1">
      <c r="N110" s="190"/>
    </row>
    <row r="111" ht="19.5" customHeight="1">
      <c r="N111" s="190"/>
    </row>
    <row r="112" ht="19.5" customHeight="1">
      <c r="N112" s="190"/>
    </row>
    <row r="113" ht="19.5" customHeight="1">
      <c r="N113" s="190"/>
    </row>
    <row r="114" ht="19.5" customHeight="1">
      <c r="N114" s="190"/>
    </row>
    <row r="115" ht="19.5" customHeight="1">
      <c r="N115" s="190"/>
    </row>
    <row r="116" ht="19.5" customHeight="1">
      <c r="N116" s="190"/>
    </row>
    <row r="117" ht="19.5" customHeight="1">
      <c r="N117" s="190"/>
    </row>
    <row r="118" ht="19.5" customHeight="1">
      <c r="N118" s="190"/>
    </row>
    <row r="119" ht="19.5" customHeight="1">
      <c r="N119" s="190"/>
    </row>
    <row r="120" ht="19.5" customHeight="1">
      <c r="N120" s="190"/>
    </row>
    <row r="121" ht="19.5" customHeight="1">
      <c r="N121" s="190"/>
    </row>
    <row r="122" ht="19.5" customHeight="1">
      <c r="N122" s="190"/>
    </row>
    <row r="123" ht="19.5" customHeight="1">
      <c r="N123" s="190"/>
    </row>
    <row r="124" ht="19.5" customHeight="1">
      <c r="N124" s="190"/>
    </row>
    <row r="125" ht="19.5" customHeight="1">
      <c r="N125" s="190"/>
    </row>
    <row r="126" ht="19.5" customHeight="1">
      <c r="N126" s="190"/>
    </row>
    <row r="127" ht="19.5" customHeight="1">
      <c r="N127" s="190"/>
    </row>
    <row r="128" ht="19.5" customHeight="1">
      <c r="N128" s="190"/>
    </row>
    <row r="129" ht="19.5" customHeight="1">
      <c r="N129" s="190"/>
    </row>
    <row r="130" ht="19.5" customHeight="1">
      <c r="N130" s="190"/>
    </row>
    <row r="131" ht="19.5" customHeight="1">
      <c r="N131" s="190"/>
    </row>
    <row r="132" ht="19.5" customHeight="1">
      <c r="N132" s="190"/>
    </row>
    <row r="133" ht="19.5" customHeight="1">
      <c r="N133" s="190"/>
    </row>
    <row r="134" ht="19.5" customHeight="1">
      <c r="N134" s="190"/>
    </row>
    <row r="135" ht="19.5" customHeight="1">
      <c r="N135" s="190"/>
    </row>
    <row r="136" ht="19.5" customHeight="1">
      <c r="N136" s="190"/>
    </row>
    <row r="137" ht="19.5" customHeight="1">
      <c r="N137" s="190"/>
    </row>
    <row r="138" ht="19.5" customHeight="1">
      <c r="N138" s="190"/>
    </row>
    <row r="139" ht="19.5" customHeight="1">
      <c r="N139" s="190"/>
    </row>
    <row r="140" ht="19.5" customHeight="1">
      <c r="N140" s="190"/>
    </row>
    <row r="141" ht="19.5" customHeight="1">
      <c r="N141" s="190"/>
    </row>
    <row r="142" ht="19.5" customHeight="1">
      <c r="N142" s="190"/>
    </row>
    <row r="143" ht="19.5" customHeight="1">
      <c r="N143" s="190"/>
    </row>
    <row r="144" ht="19.5" customHeight="1">
      <c r="N144" s="190"/>
    </row>
    <row r="145" ht="19.5" customHeight="1">
      <c r="N145" s="190"/>
    </row>
    <row r="146" ht="19.5" customHeight="1">
      <c r="N146" s="190"/>
    </row>
    <row r="147" ht="19.5" customHeight="1">
      <c r="N147" s="190"/>
    </row>
    <row r="148" ht="19.5" customHeight="1">
      <c r="N148" s="190"/>
    </row>
    <row r="149" ht="19.5" customHeight="1">
      <c r="N149" s="190"/>
    </row>
    <row r="150" ht="19.5" customHeight="1">
      <c r="N150" s="190"/>
    </row>
    <row r="151" ht="19.5" customHeight="1">
      <c r="N151" s="190"/>
    </row>
    <row r="152" ht="19.5" customHeight="1">
      <c r="N152" s="190"/>
    </row>
    <row r="153" ht="19.5" customHeight="1">
      <c r="N153" s="190"/>
    </row>
    <row r="154" ht="19.5" customHeight="1">
      <c r="N154" s="190"/>
    </row>
    <row r="155" ht="19.5" customHeight="1">
      <c r="N155" s="190"/>
    </row>
    <row r="156" ht="19.5" customHeight="1">
      <c r="N156" s="190"/>
    </row>
    <row r="157" ht="19.5" customHeight="1">
      <c r="N157" s="190"/>
    </row>
    <row r="158" ht="19.5" customHeight="1">
      <c r="N158" s="190"/>
    </row>
    <row r="159" ht="19.5" customHeight="1">
      <c r="N159" s="190"/>
    </row>
    <row r="160" ht="19.5" customHeight="1">
      <c r="N160" s="190"/>
    </row>
    <row r="161" ht="19.5" customHeight="1">
      <c r="N161" s="190"/>
    </row>
    <row r="162" ht="19.5" customHeight="1">
      <c r="N162" s="190"/>
    </row>
    <row r="163" ht="19.5" customHeight="1">
      <c r="N163" s="190"/>
    </row>
    <row r="164" ht="19.5" customHeight="1">
      <c r="N164" s="190"/>
    </row>
    <row r="165" ht="19.5" customHeight="1">
      <c r="N165" s="190"/>
    </row>
    <row r="166" ht="19.5" customHeight="1">
      <c r="N166" s="190"/>
    </row>
    <row r="167" ht="19.5" customHeight="1">
      <c r="N167" s="190"/>
    </row>
    <row r="168" ht="19.5" customHeight="1">
      <c r="N168" s="190"/>
    </row>
    <row r="169" ht="19.5" customHeight="1">
      <c r="N169" s="190"/>
    </row>
    <row r="170" ht="19.5" customHeight="1">
      <c r="N170" s="190"/>
    </row>
    <row r="171" ht="19.5" customHeight="1">
      <c r="N171" s="190"/>
    </row>
    <row r="172" ht="19.5" customHeight="1">
      <c r="N172" s="190"/>
    </row>
    <row r="173" ht="19.5" customHeight="1">
      <c r="N173" s="190"/>
    </row>
    <row r="174" ht="19.5" customHeight="1">
      <c r="N174" s="190"/>
    </row>
    <row r="175" ht="19.5" customHeight="1">
      <c r="N175" s="190"/>
    </row>
    <row r="176" ht="19.5" customHeight="1">
      <c r="N176" s="190"/>
    </row>
    <row r="177" ht="19.5" customHeight="1">
      <c r="N177" s="190"/>
    </row>
    <row r="178" ht="19.5" customHeight="1">
      <c r="N178" s="190"/>
    </row>
    <row r="179" ht="19.5" customHeight="1">
      <c r="N179" s="190"/>
    </row>
    <row r="180" ht="19.5" customHeight="1">
      <c r="N180" s="190"/>
    </row>
    <row r="181" ht="19.5" customHeight="1">
      <c r="N181" s="190"/>
    </row>
    <row r="182" ht="19.5" customHeight="1">
      <c r="N182" s="190"/>
    </row>
    <row r="183" ht="19.5" customHeight="1">
      <c r="N183" s="190"/>
    </row>
    <row r="184" ht="19.5" customHeight="1">
      <c r="N184" s="190"/>
    </row>
    <row r="185" ht="19.5" customHeight="1">
      <c r="N185" s="190"/>
    </row>
    <row r="186" ht="19.5" customHeight="1">
      <c r="N186" s="190"/>
    </row>
    <row r="187" ht="19.5" customHeight="1">
      <c r="N187" s="190"/>
    </row>
    <row r="188" ht="19.5" customHeight="1">
      <c r="N188" s="190"/>
    </row>
    <row r="189" ht="19.5" customHeight="1">
      <c r="N189" s="190"/>
    </row>
    <row r="190" ht="19.5" customHeight="1">
      <c r="N190" s="190"/>
    </row>
    <row r="191" ht="19.5" customHeight="1">
      <c r="N191" s="190"/>
    </row>
    <row r="192" ht="19.5" customHeight="1">
      <c r="N192" s="190"/>
    </row>
    <row r="193" ht="19.5" customHeight="1">
      <c r="N193" s="190"/>
    </row>
    <row r="194" ht="19.5" customHeight="1">
      <c r="N194" s="190"/>
    </row>
    <row r="195" ht="19.5" customHeight="1">
      <c r="N195" s="190"/>
    </row>
    <row r="196" ht="19.5" customHeight="1">
      <c r="N196" s="190"/>
    </row>
    <row r="197" ht="19.5" customHeight="1">
      <c r="N197" s="190"/>
    </row>
    <row r="198" ht="19.5" customHeight="1">
      <c r="N198" s="190"/>
    </row>
    <row r="199" ht="19.5" customHeight="1">
      <c r="N199" s="190"/>
    </row>
    <row r="200" ht="19.5" customHeight="1">
      <c r="N200" s="190"/>
    </row>
    <row r="201" ht="19.5" customHeight="1">
      <c r="N201" s="190"/>
    </row>
    <row r="202" ht="19.5" customHeight="1">
      <c r="N202" s="190"/>
    </row>
    <row r="203" ht="19.5" customHeight="1">
      <c r="N203" s="190"/>
    </row>
    <row r="204" ht="19.5" customHeight="1">
      <c r="N204" s="190"/>
    </row>
    <row r="205" ht="19.5" customHeight="1">
      <c r="N205" s="190"/>
    </row>
    <row r="206" ht="19.5" customHeight="1">
      <c r="N206" s="190"/>
    </row>
    <row r="207" ht="19.5" customHeight="1">
      <c r="N207" s="190"/>
    </row>
    <row r="208" ht="19.5" customHeight="1">
      <c r="N208" s="190"/>
    </row>
    <row r="209" ht="19.5" customHeight="1">
      <c r="N209" s="190"/>
    </row>
    <row r="210" ht="19.5" customHeight="1">
      <c r="N210" s="190"/>
    </row>
    <row r="211" ht="19.5" customHeight="1">
      <c r="N211" s="190"/>
    </row>
    <row r="212" ht="19.5" customHeight="1">
      <c r="N212" s="190"/>
    </row>
    <row r="213" ht="19.5" customHeight="1">
      <c r="N213" s="190"/>
    </row>
    <row r="214" ht="19.5" customHeight="1">
      <c r="N214" s="190"/>
    </row>
    <row r="215" ht="19.5" customHeight="1">
      <c r="N215" s="190"/>
    </row>
    <row r="216" ht="19.5" customHeight="1">
      <c r="N216" s="190"/>
    </row>
    <row r="217" ht="19.5" customHeight="1">
      <c r="N217" s="190"/>
    </row>
    <row r="218" ht="19.5" customHeight="1">
      <c r="N218" s="190"/>
    </row>
    <row r="219" ht="19.5" customHeight="1">
      <c r="N219" s="190"/>
    </row>
    <row r="220" ht="19.5" customHeight="1">
      <c r="N220" s="190"/>
    </row>
    <row r="221" ht="19.5" customHeight="1">
      <c r="N221" s="190"/>
    </row>
    <row r="222" ht="19.5" customHeight="1">
      <c r="N222" s="190"/>
    </row>
    <row r="223" ht="19.5" customHeight="1">
      <c r="N223" s="190"/>
    </row>
    <row r="224" ht="19.5" customHeight="1">
      <c r="N224" s="190"/>
    </row>
    <row r="225" ht="19.5" customHeight="1">
      <c r="N225" s="190"/>
    </row>
    <row r="226" ht="19.5" customHeight="1">
      <c r="N226" s="190"/>
    </row>
    <row r="227" ht="19.5" customHeight="1">
      <c r="N227" s="190"/>
    </row>
    <row r="228" ht="19.5" customHeight="1">
      <c r="N228" s="190"/>
    </row>
    <row r="229" ht="19.5" customHeight="1">
      <c r="N229" s="190"/>
    </row>
    <row r="230" ht="19.5" customHeight="1">
      <c r="N230" s="190"/>
    </row>
    <row r="231" ht="19.5" customHeight="1">
      <c r="N231" s="190"/>
    </row>
    <row r="232" ht="19.5" customHeight="1">
      <c r="N232" s="190"/>
    </row>
    <row r="233" ht="19.5" customHeight="1">
      <c r="N233" s="190"/>
    </row>
    <row r="234" ht="19.5" customHeight="1">
      <c r="N234" s="190"/>
    </row>
    <row r="235" ht="19.5" customHeight="1">
      <c r="N235" s="190"/>
    </row>
    <row r="236" ht="19.5" customHeight="1">
      <c r="N236" s="190"/>
    </row>
    <row r="237" ht="19.5" customHeight="1">
      <c r="N237" s="190"/>
    </row>
    <row r="238" ht="19.5" customHeight="1">
      <c r="N238" s="190"/>
    </row>
    <row r="239" ht="19.5" customHeight="1">
      <c r="N239" s="190"/>
    </row>
    <row r="240" ht="19.5" customHeight="1">
      <c r="N240" s="190"/>
    </row>
    <row r="241" ht="19.5" customHeight="1">
      <c r="N241" s="190"/>
    </row>
    <row r="242" ht="19.5" customHeight="1">
      <c r="N242" s="190"/>
    </row>
    <row r="243" ht="19.5" customHeight="1">
      <c r="N243" s="190"/>
    </row>
    <row r="244" ht="19.5" customHeight="1">
      <c r="N244" s="190"/>
    </row>
    <row r="245" ht="19.5" customHeight="1">
      <c r="N245" s="190"/>
    </row>
    <row r="246" ht="19.5" customHeight="1">
      <c r="N246" s="190"/>
    </row>
    <row r="247" ht="19.5" customHeight="1">
      <c r="N247" s="190"/>
    </row>
    <row r="248" ht="19.5" customHeight="1">
      <c r="N248" s="190"/>
    </row>
    <row r="249" ht="19.5" customHeight="1">
      <c r="N249" s="190"/>
    </row>
    <row r="250" ht="19.5" customHeight="1">
      <c r="N250" s="190"/>
    </row>
    <row r="251" ht="19.5" customHeight="1">
      <c r="N251" s="190"/>
    </row>
    <row r="252" ht="19.5" customHeight="1">
      <c r="N252" s="190"/>
    </row>
    <row r="253" ht="19.5" customHeight="1">
      <c r="N253" s="190"/>
    </row>
    <row r="254" ht="19.5" customHeight="1">
      <c r="N254" s="190"/>
    </row>
    <row r="255" ht="19.5" customHeight="1">
      <c r="N255" s="190"/>
    </row>
    <row r="256" ht="19.5" customHeight="1">
      <c r="N256" s="190"/>
    </row>
    <row r="257" ht="19.5" customHeight="1">
      <c r="N257" s="190"/>
    </row>
    <row r="258" ht="19.5" customHeight="1">
      <c r="N258" s="190"/>
    </row>
    <row r="259" ht="19.5" customHeight="1">
      <c r="N259" s="190"/>
    </row>
    <row r="260" ht="19.5" customHeight="1">
      <c r="N260" s="190"/>
    </row>
    <row r="261" ht="19.5" customHeight="1">
      <c r="N261" s="190"/>
    </row>
    <row r="262" ht="19.5" customHeight="1">
      <c r="N262" s="190"/>
    </row>
    <row r="263" ht="19.5" customHeight="1">
      <c r="N263" s="190"/>
    </row>
    <row r="264" ht="19.5" customHeight="1">
      <c r="N264" s="190"/>
    </row>
    <row r="265" ht="19.5" customHeight="1">
      <c r="N265" s="190"/>
    </row>
    <row r="266" ht="19.5" customHeight="1">
      <c r="N266" s="190"/>
    </row>
    <row r="267" ht="19.5" customHeight="1">
      <c r="N267" s="190"/>
    </row>
    <row r="268" ht="19.5" customHeight="1">
      <c r="N268" s="190"/>
    </row>
    <row r="269" ht="19.5" customHeight="1">
      <c r="N269" s="190"/>
    </row>
    <row r="270" ht="19.5" customHeight="1">
      <c r="N270" s="190"/>
    </row>
    <row r="271" ht="19.5" customHeight="1">
      <c r="N271" s="190"/>
    </row>
    <row r="272" ht="19.5" customHeight="1">
      <c r="N272" s="190"/>
    </row>
    <row r="273" ht="19.5" customHeight="1">
      <c r="N273" s="190"/>
    </row>
    <row r="274" ht="19.5" customHeight="1">
      <c r="N274" s="190"/>
    </row>
    <row r="275" ht="19.5" customHeight="1">
      <c r="N275" s="190"/>
    </row>
    <row r="276" ht="19.5" customHeight="1">
      <c r="N276" s="190"/>
    </row>
    <row r="277" ht="19.5" customHeight="1">
      <c r="N277" s="190"/>
    </row>
    <row r="278" ht="19.5" customHeight="1">
      <c r="N278" s="190"/>
    </row>
    <row r="279" ht="19.5" customHeight="1">
      <c r="N279" s="190"/>
    </row>
    <row r="280" ht="19.5" customHeight="1">
      <c r="N280" s="190"/>
    </row>
    <row r="281" ht="19.5" customHeight="1">
      <c r="N281" s="190"/>
    </row>
    <row r="282" ht="19.5" customHeight="1">
      <c r="N282" s="190"/>
    </row>
    <row r="283" ht="19.5" customHeight="1">
      <c r="N283" s="190"/>
    </row>
    <row r="284" ht="19.5" customHeight="1">
      <c r="N284" s="190"/>
    </row>
    <row r="285" ht="19.5" customHeight="1">
      <c r="N285" s="190"/>
    </row>
    <row r="286" ht="19.5" customHeight="1">
      <c r="N286" s="190"/>
    </row>
    <row r="287" ht="19.5" customHeight="1">
      <c r="N287" s="190"/>
    </row>
    <row r="288" ht="19.5" customHeight="1">
      <c r="N288" s="190"/>
    </row>
    <row r="289" ht="19.5" customHeight="1">
      <c r="N289" s="190"/>
    </row>
    <row r="290" ht="19.5" customHeight="1">
      <c r="N290" s="190"/>
    </row>
    <row r="291" ht="19.5" customHeight="1">
      <c r="N291" s="190"/>
    </row>
    <row r="292" ht="19.5" customHeight="1">
      <c r="N292" s="190"/>
    </row>
    <row r="293" ht="19.5" customHeight="1">
      <c r="N293" s="190"/>
    </row>
    <row r="294" ht="19.5" customHeight="1">
      <c r="N294" s="190"/>
    </row>
    <row r="295" ht="19.5" customHeight="1">
      <c r="N295" s="190"/>
    </row>
    <row r="296" ht="19.5" customHeight="1">
      <c r="N296" s="190"/>
    </row>
    <row r="297" ht="19.5" customHeight="1">
      <c r="N297" s="190"/>
    </row>
    <row r="298" ht="19.5" customHeight="1">
      <c r="N298" s="190"/>
    </row>
    <row r="299" ht="19.5" customHeight="1">
      <c r="N299" s="190"/>
    </row>
    <row r="300" ht="19.5" customHeight="1">
      <c r="N300" s="190"/>
    </row>
    <row r="301" ht="19.5" customHeight="1">
      <c r="N301" s="190"/>
    </row>
    <row r="302" ht="19.5" customHeight="1">
      <c r="N302" s="190"/>
    </row>
    <row r="303" ht="19.5" customHeight="1">
      <c r="N303" s="190"/>
    </row>
    <row r="304" ht="19.5" customHeight="1">
      <c r="N304" s="190"/>
    </row>
    <row r="305" ht="19.5" customHeight="1">
      <c r="N305" s="190"/>
    </row>
    <row r="306" ht="19.5" customHeight="1">
      <c r="N306" s="190"/>
    </row>
    <row r="307" ht="19.5" customHeight="1">
      <c r="N307" s="190"/>
    </row>
    <row r="308" ht="19.5" customHeight="1">
      <c r="N308" s="190"/>
    </row>
    <row r="309" ht="19.5" customHeight="1">
      <c r="N309" s="190"/>
    </row>
    <row r="310" ht="19.5" customHeight="1">
      <c r="N310" s="190"/>
    </row>
    <row r="311" ht="19.5" customHeight="1">
      <c r="N311" s="190"/>
    </row>
    <row r="312" ht="19.5" customHeight="1">
      <c r="N312" s="190"/>
    </row>
    <row r="313" ht="19.5" customHeight="1">
      <c r="N313" s="190"/>
    </row>
    <row r="314" ht="19.5" customHeight="1">
      <c r="N314" s="190"/>
    </row>
    <row r="315" ht="19.5" customHeight="1">
      <c r="N315" s="190"/>
    </row>
    <row r="316" ht="19.5" customHeight="1">
      <c r="N316" s="190"/>
    </row>
    <row r="317" ht="19.5" customHeight="1">
      <c r="N317" s="190"/>
    </row>
    <row r="318" ht="19.5" customHeight="1">
      <c r="N318" s="190"/>
    </row>
    <row r="319" ht="19.5" customHeight="1">
      <c r="N319" s="190"/>
    </row>
    <row r="320" ht="19.5" customHeight="1">
      <c r="N320" s="190"/>
    </row>
    <row r="321" ht="19.5" customHeight="1">
      <c r="N321" s="190"/>
    </row>
    <row r="322" ht="19.5" customHeight="1">
      <c r="N322" s="190"/>
    </row>
    <row r="323" ht="19.5" customHeight="1">
      <c r="N323" s="190"/>
    </row>
    <row r="324" ht="19.5" customHeight="1">
      <c r="N324" s="190"/>
    </row>
    <row r="325" ht="19.5" customHeight="1">
      <c r="N325" s="190"/>
    </row>
    <row r="326" ht="19.5" customHeight="1">
      <c r="N326" s="190"/>
    </row>
    <row r="327" ht="19.5" customHeight="1">
      <c r="N327" s="190"/>
    </row>
    <row r="328" ht="19.5" customHeight="1">
      <c r="N328" s="190"/>
    </row>
    <row r="329" ht="19.5" customHeight="1">
      <c r="N329" s="190"/>
    </row>
    <row r="330" ht="19.5" customHeight="1">
      <c r="N330" s="190"/>
    </row>
    <row r="331" ht="19.5" customHeight="1">
      <c r="N331" s="190"/>
    </row>
    <row r="332" ht="19.5" customHeight="1">
      <c r="N332" s="190"/>
    </row>
    <row r="333" ht="19.5" customHeight="1">
      <c r="N333" s="190"/>
    </row>
    <row r="334" ht="19.5" customHeight="1">
      <c r="N334" s="190"/>
    </row>
    <row r="335" ht="19.5" customHeight="1">
      <c r="N335" s="190"/>
    </row>
    <row r="336" ht="19.5" customHeight="1">
      <c r="N336" s="190"/>
    </row>
    <row r="337" ht="19.5" customHeight="1">
      <c r="N337" s="190"/>
    </row>
    <row r="338" ht="19.5" customHeight="1">
      <c r="N338" s="190"/>
    </row>
    <row r="339" ht="19.5" customHeight="1">
      <c r="N339" s="190"/>
    </row>
    <row r="340" ht="19.5" customHeight="1">
      <c r="N340" s="190"/>
    </row>
    <row r="341" ht="19.5" customHeight="1">
      <c r="N341" s="190"/>
    </row>
    <row r="342" ht="19.5" customHeight="1">
      <c r="N342" s="190"/>
    </row>
    <row r="343" ht="19.5" customHeight="1">
      <c r="N343" s="190"/>
    </row>
    <row r="344" ht="19.5" customHeight="1">
      <c r="N344" s="190"/>
    </row>
    <row r="345" ht="19.5" customHeight="1">
      <c r="N345" s="190"/>
    </row>
    <row r="346" ht="19.5" customHeight="1">
      <c r="N346" s="190"/>
    </row>
    <row r="347" ht="19.5" customHeight="1">
      <c r="N347" s="190"/>
    </row>
    <row r="348" ht="19.5" customHeight="1">
      <c r="N348" s="190"/>
    </row>
    <row r="349" ht="19.5" customHeight="1">
      <c r="N349" s="190"/>
    </row>
    <row r="350" ht="19.5" customHeight="1">
      <c r="N350" s="190"/>
    </row>
    <row r="351" ht="19.5" customHeight="1">
      <c r="N351" s="190"/>
    </row>
    <row r="352" ht="19.5" customHeight="1">
      <c r="N352" s="190"/>
    </row>
    <row r="353" ht="19.5" customHeight="1">
      <c r="N353" s="190"/>
    </row>
    <row r="354" ht="19.5" customHeight="1">
      <c r="N354" s="190"/>
    </row>
    <row r="355" ht="19.5" customHeight="1">
      <c r="N355" s="190"/>
    </row>
    <row r="356" ht="19.5" customHeight="1">
      <c r="N356" s="190"/>
    </row>
    <row r="357" ht="19.5" customHeight="1">
      <c r="N357" s="190"/>
    </row>
    <row r="358" ht="19.5" customHeight="1">
      <c r="N358" s="190"/>
    </row>
    <row r="359" ht="19.5" customHeight="1">
      <c r="N359" s="190"/>
    </row>
    <row r="360" ht="19.5" customHeight="1">
      <c r="N360" s="190"/>
    </row>
    <row r="361" ht="19.5" customHeight="1">
      <c r="N361" s="190"/>
    </row>
    <row r="362" ht="19.5" customHeight="1">
      <c r="N362" s="190"/>
    </row>
    <row r="363" ht="19.5" customHeight="1">
      <c r="N363" s="190"/>
    </row>
    <row r="364" ht="19.5" customHeight="1">
      <c r="N364" s="190"/>
    </row>
    <row r="365" ht="19.5" customHeight="1">
      <c r="N365" s="190"/>
    </row>
    <row r="366" ht="19.5" customHeight="1">
      <c r="N366" s="190"/>
    </row>
    <row r="367" ht="19.5" customHeight="1">
      <c r="N367" s="190"/>
    </row>
    <row r="368" ht="19.5" customHeight="1">
      <c r="N368" s="190"/>
    </row>
    <row r="369" ht="19.5" customHeight="1">
      <c r="N369" s="190"/>
    </row>
    <row r="370" ht="19.5" customHeight="1">
      <c r="N370" s="190"/>
    </row>
    <row r="371" ht="19.5" customHeight="1">
      <c r="N371" s="190"/>
    </row>
    <row r="372" ht="19.5" customHeight="1">
      <c r="N372" s="190"/>
    </row>
    <row r="373" ht="19.5" customHeight="1">
      <c r="N373" s="190"/>
    </row>
    <row r="374" ht="19.5" customHeight="1">
      <c r="N374" s="190"/>
    </row>
    <row r="375" ht="19.5" customHeight="1">
      <c r="N375" s="190"/>
    </row>
    <row r="376" ht="19.5" customHeight="1">
      <c r="N376" s="190"/>
    </row>
    <row r="377" ht="19.5" customHeight="1">
      <c r="N377" s="190"/>
    </row>
    <row r="378" ht="19.5" customHeight="1">
      <c r="N378" s="190"/>
    </row>
    <row r="379" ht="19.5" customHeight="1">
      <c r="N379" s="190"/>
    </row>
    <row r="380" ht="19.5" customHeight="1">
      <c r="N380" s="190"/>
    </row>
    <row r="381" ht="19.5" customHeight="1">
      <c r="N381" s="190"/>
    </row>
    <row r="382" ht="19.5" customHeight="1">
      <c r="N382" s="190"/>
    </row>
    <row r="383" ht="19.5" customHeight="1">
      <c r="N383" s="190"/>
    </row>
    <row r="384" ht="19.5" customHeight="1">
      <c r="N384" s="190"/>
    </row>
    <row r="385" ht="19.5" customHeight="1">
      <c r="N385" s="190"/>
    </row>
    <row r="386" ht="19.5" customHeight="1">
      <c r="N386" s="190"/>
    </row>
    <row r="387" ht="19.5" customHeight="1">
      <c r="N387" s="190"/>
    </row>
    <row r="388" ht="19.5" customHeight="1">
      <c r="N388" s="190"/>
    </row>
    <row r="389" ht="19.5" customHeight="1">
      <c r="N389" s="190"/>
    </row>
    <row r="390" ht="19.5" customHeight="1">
      <c r="N390" s="190"/>
    </row>
    <row r="391" ht="19.5" customHeight="1">
      <c r="N391" s="190"/>
    </row>
    <row r="392" ht="19.5" customHeight="1">
      <c r="N392" s="190"/>
    </row>
    <row r="393" ht="19.5" customHeight="1">
      <c r="N393" s="190"/>
    </row>
    <row r="394" ht="19.5" customHeight="1">
      <c r="N394" s="190"/>
    </row>
    <row r="395" ht="19.5" customHeight="1">
      <c r="N395" s="190"/>
    </row>
    <row r="396" ht="19.5" customHeight="1">
      <c r="N396" s="190"/>
    </row>
    <row r="397" ht="19.5" customHeight="1">
      <c r="N397" s="190"/>
    </row>
    <row r="398" ht="19.5" customHeight="1">
      <c r="N398" s="190"/>
    </row>
    <row r="399" ht="19.5" customHeight="1">
      <c r="N399" s="190"/>
    </row>
    <row r="400" ht="19.5" customHeight="1">
      <c r="N400" s="190"/>
    </row>
    <row r="401" ht="19.5" customHeight="1">
      <c r="N401" s="190"/>
    </row>
    <row r="402" ht="19.5" customHeight="1">
      <c r="N402" s="190"/>
    </row>
    <row r="403" ht="19.5" customHeight="1">
      <c r="N403" s="190"/>
    </row>
    <row r="404" ht="19.5" customHeight="1">
      <c r="N404" s="190"/>
    </row>
    <row r="405" ht="19.5" customHeight="1">
      <c r="N405" s="190"/>
    </row>
    <row r="406" ht="19.5" customHeight="1">
      <c r="N406" s="190"/>
    </row>
    <row r="407" ht="19.5" customHeight="1">
      <c r="N407" s="190"/>
    </row>
    <row r="408" ht="19.5" customHeight="1">
      <c r="N408" s="190"/>
    </row>
    <row r="409" ht="19.5" customHeight="1">
      <c r="N409" s="190"/>
    </row>
    <row r="410" ht="19.5" customHeight="1">
      <c r="N410" s="190"/>
    </row>
    <row r="411" ht="19.5" customHeight="1">
      <c r="N411" s="190"/>
    </row>
    <row r="412" ht="19.5" customHeight="1">
      <c r="N412" s="190"/>
    </row>
    <row r="413" ht="19.5" customHeight="1">
      <c r="N413" s="190"/>
    </row>
    <row r="414" ht="19.5" customHeight="1">
      <c r="N414" s="190"/>
    </row>
    <row r="415" ht="19.5" customHeight="1">
      <c r="N415" s="190"/>
    </row>
    <row r="416" ht="19.5" customHeight="1">
      <c r="N416" s="190"/>
    </row>
    <row r="417" ht="19.5" customHeight="1">
      <c r="N417" s="190"/>
    </row>
    <row r="418" ht="19.5" customHeight="1">
      <c r="N418" s="190"/>
    </row>
    <row r="419" ht="19.5" customHeight="1">
      <c r="N419" s="190"/>
    </row>
    <row r="420" ht="19.5" customHeight="1">
      <c r="N420" s="190"/>
    </row>
    <row r="421" ht="19.5" customHeight="1">
      <c r="N421" s="190"/>
    </row>
    <row r="422" ht="19.5" customHeight="1">
      <c r="N422" s="190"/>
    </row>
    <row r="423" ht="19.5" customHeight="1">
      <c r="N423" s="190"/>
    </row>
    <row r="424" ht="19.5" customHeight="1">
      <c r="N424" s="190"/>
    </row>
    <row r="425" ht="19.5" customHeight="1">
      <c r="N425" s="190"/>
    </row>
    <row r="426" ht="19.5" customHeight="1">
      <c r="N426" s="190"/>
    </row>
    <row r="427" ht="19.5" customHeight="1">
      <c r="N427" s="190"/>
    </row>
    <row r="428" ht="19.5" customHeight="1">
      <c r="N428" s="190"/>
    </row>
    <row r="429" ht="19.5" customHeight="1">
      <c r="N429" s="190"/>
    </row>
    <row r="430" ht="19.5" customHeight="1">
      <c r="N430" s="190"/>
    </row>
    <row r="431" ht="19.5" customHeight="1">
      <c r="N431" s="190"/>
    </row>
    <row r="432" ht="19.5" customHeight="1">
      <c r="N432" s="190"/>
    </row>
    <row r="433" ht="19.5" customHeight="1">
      <c r="N433" s="190"/>
    </row>
    <row r="434" ht="19.5" customHeight="1">
      <c r="N434" s="190"/>
    </row>
    <row r="435" ht="19.5" customHeight="1">
      <c r="N435" s="190"/>
    </row>
    <row r="436" ht="19.5" customHeight="1">
      <c r="N436" s="190"/>
    </row>
    <row r="437" ht="19.5" customHeight="1">
      <c r="N437" s="190"/>
    </row>
    <row r="438" ht="19.5" customHeight="1">
      <c r="N438" s="190"/>
    </row>
    <row r="439" ht="19.5" customHeight="1">
      <c r="N439" s="190"/>
    </row>
    <row r="440" ht="19.5" customHeight="1">
      <c r="N440" s="190"/>
    </row>
    <row r="441" ht="19.5" customHeight="1">
      <c r="N441" s="190"/>
    </row>
    <row r="442" ht="19.5" customHeight="1">
      <c r="N442" s="190"/>
    </row>
    <row r="443" ht="19.5" customHeight="1">
      <c r="N443" s="190"/>
    </row>
    <row r="444" ht="19.5" customHeight="1">
      <c r="N444" s="190"/>
    </row>
    <row r="445" ht="19.5" customHeight="1">
      <c r="N445" s="190"/>
    </row>
    <row r="446" ht="19.5" customHeight="1">
      <c r="N446" s="190"/>
    </row>
    <row r="447" ht="19.5" customHeight="1">
      <c r="N447" s="190"/>
    </row>
    <row r="448" ht="19.5" customHeight="1">
      <c r="N448" s="190"/>
    </row>
    <row r="449" ht="19.5" customHeight="1">
      <c r="N449" s="190"/>
    </row>
    <row r="450" ht="19.5" customHeight="1">
      <c r="N450" s="190"/>
    </row>
    <row r="451" ht="19.5" customHeight="1">
      <c r="N451" s="190"/>
    </row>
    <row r="452" ht="19.5" customHeight="1">
      <c r="N452" s="190"/>
    </row>
    <row r="453" ht="19.5" customHeight="1">
      <c r="N453" s="190"/>
    </row>
    <row r="454" ht="19.5" customHeight="1">
      <c r="N454" s="190"/>
    </row>
    <row r="455" ht="19.5" customHeight="1">
      <c r="N455" s="190"/>
    </row>
    <row r="456" ht="19.5" customHeight="1">
      <c r="N456" s="190"/>
    </row>
    <row r="457" ht="19.5" customHeight="1">
      <c r="N457" s="190"/>
    </row>
    <row r="458" ht="19.5" customHeight="1">
      <c r="N458" s="190"/>
    </row>
    <row r="459" ht="19.5" customHeight="1">
      <c r="N459" s="190"/>
    </row>
    <row r="460" ht="19.5" customHeight="1">
      <c r="N460" s="190"/>
    </row>
    <row r="461" ht="19.5" customHeight="1">
      <c r="N461" s="190"/>
    </row>
    <row r="462" ht="19.5" customHeight="1">
      <c r="N462" s="190"/>
    </row>
    <row r="463" ht="19.5" customHeight="1">
      <c r="N463" s="190"/>
    </row>
    <row r="464" ht="19.5" customHeight="1">
      <c r="N464" s="190"/>
    </row>
    <row r="465" ht="19.5" customHeight="1">
      <c r="N465" s="190"/>
    </row>
    <row r="466" ht="19.5" customHeight="1">
      <c r="N466" s="190"/>
    </row>
    <row r="467" ht="19.5" customHeight="1">
      <c r="N467" s="190"/>
    </row>
    <row r="468" ht="19.5" customHeight="1">
      <c r="N468" s="190"/>
    </row>
    <row r="469" ht="19.5" customHeight="1">
      <c r="N469" s="190"/>
    </row>
    <row r="470" ht="19.5" customHeight="1">
      <c r="N470" s="190"/>
    </row>
    <row r="471" ht="19.5" customHeight="1">
      <c r="N471" s="190"/>
    </row>
    <row r="472" ht="19.5" customHeight="1">
      <c r="N472" s="190"/>
    </row>
    <row r="473" ht="19.5" customHeight="1">
      <c r="N473" s="190"/>
    </row>
    <row r="474" ht="19.5" customHeight="1">
      <c r="N474" s="190"/>
    </row>
    <row r="475" ht="19.5" customHeight="1">
      <c r="N475" s="190"/>
    </row>
    <row r="476" ht="19.5" customHeight="1">
      <c r="N476" s="190"/>
    </row>
    <row r="477" ht="19.5" customHeight="1">
      <c r="N477" s="190"/>
    </row>
    <row r="478" ht="19.5" customHeight="1">
      <c r="N478" s="190"/>
    </row>
    <row r="479" ht="19.5" customHeight="1">
      <c r="N479" s="190"/>
    </row>
    <row r="480" ht="19.5" customHeight="1">
      <c r="N480" s="190"/>
    </row>
    <row r="481" ht="19.5" customHeight="1">
      <c r="N481" s="190"/>
    </row>
    <row r="482" ht="19.5" customHeight="1">
      <c r="N482" s="190"/>
    </row>
    <row r="483" ht="19.5" customHeight="1">
      <c r="N483" s="190"/>
    </row>
    <row r="484" ht="19.5" customHeight="1">
      <c r="N484" s="190"/>
    </row>
    <row r="485" ht="19.5" customHeight="1">
      <c r="N485" s="190"/>
    </row>
    <row r="486" ht="19.5" customHeight="1">
      <c r="N486" s="190"/>
    </row>
    <row r="487" ht="19.5" customHeight="1">
      <c r="N487" s="190"/>
    </row>
    <row r="488" ht="19.5" customHeight="1">
      <c r="N488" s="190"/>
    </row>
    <row r="489" ht="19.5" customHeight="1">
      <c r="N489" s="190"/>
    </row>
    <row r="490" ht="19.5" customHeight="1">
      <c r="N490" s="190"/>
    </row>
    <row r="491" ht="19.5" customHeight="1">
      <c r="N491" s="190"/>
    </row>
    <row r="492" ht="19.5" customHeight="1">
      <c r="N492" s="190"/>
    </row>
    <row r="493" ht="19.5" customHeight="1">
      <c r="N493" s="190"/>
    </row>
    <row r="494" ht="19.5" customHeight="1">
      <c r="N494" s="190"/>
    </row>
    <row r="495" ht="19.5" customHeight="1">
      <c r="N495" s="190"/>
    </row>
    <row r="496" ht="19.5" customHeight="1">
      <c r="N496" s="190"/>
    </row>
    <row r="497" ht="19.5" customHeight="1">
      <c r="N497" s="190"/>
    </row>
    <row r="498" ht="19.5" customHeight="1">
      <c r="N498" s="190"/>
    </row>
    <row r="499" ht="19.5" customHeight="1">
      <c r="N499" s="190"/>
    </row>
    <row r="500" ht="19.5" customHeight="1">
      <c r="N500" s="190"/>
    </row>
    <row r="501" ht="19.5" customHeight="1">
      <c r="N501" s="190"/>
    </row>
    <row r="502" ht="19.5" customHeight="1">
      <c r="N502" s="190"/>
    </row>
    <row r="503" ht="19.5" customHeight="1">
      <c r="N503" s="190"/>
    </row>
    <row r="504" ht="19.5" customHeight="1">
      <c r="N504" s="190"/>
    </row>
    <row r="505" ht="19.5" customHeight="1">
      <c r="N505" s="190"/>
    </row>
    <row r="506" ht="19.5" customHeight="1">
      <c r="N506" s="190"/>
    </row>
    <row r="507" ht="19.5" customHeight="1">
      <c r="N507" s="190"/>
    </row>
    <row r="508" ht="19.5" customHeight="1">
      <c r="N508" s="190"/>
    </row>
    <row r="509" ht="19.5" customHeight="1">
      <c r="N509" s="190"/>
    </row>
    <row r="510" ht="19.5" customHeight="1">
      <c r="N510" s="190"/>
    </row>
    <row r="511" ht="19.5" customHeight="1">
      <c r="N511" s="190"/>
    </row>
    <row r="512" ht="19.5" customHeight="1">
      <c r="N512" s="190"/>
    </row>
    <row r="513" ht="19.5" customHeight="1">
      <c r="N513" s="190"/>
    </row>
    <row r="514" ht="19.5" customHeight="1">
      <c r="N514" s="190"/>
    </row>
    <row r="515" ht="19.5" customHeight="1">
      <c r="N515" s="190"/>
    </row>
    <row r="516" ht="19.5" customHeight="1">
      <c r="N516" s="190"/>
    </row>
    <row r="517" ht="19.5" customHeight="1">
      <c r="N517" s="190"/>
    </row>
    <row r="518" ht="19.5" customHeight="1">
      <c r="N518" s="190"/>
    </row>
    <row r="519" ht="19.5" customHeight="1">
      <c r="N519" s="190"/>
    </row>
    <row r="520" ht="19.5" customHeight="1">
      <c r="N520" s="190"/>
    </row>
    <row r="521" ht="19.5" customHeight="1">
      <c r="N521" s="190"/>
    </row>
    <row r="522" ht="19.5" customHeight="1">
      <c r="N522" s="190"/>
    </row>
    <row r="523" ht="19.5" customHeight="1">
      <c r="N523" s="190"/>
    </row>
    <row r="524" ht="19.5" customHeight="1">
      <c r="N524" s="190"/>
    </row>
    <row r="525" ht="19.5" customHeight="1">
      <c r="N525" s="190"/>
    </row>
    <row r="526" ht="19.5" customHeight="1">
      <c r="N526" s="190"/>
    </row>
    <row r="527" ht="19.5" customHeight="1">
      <c r="N527" s="190"/>
    </row>
    <row r="528" ht="19.5" customHeight="1">
      <c r="N528" s="190"/>
    </row>
    <row r="529" ht="19.5" customHeight="1">
      <c r="N529" s="190"/>
    </row>
    <row r="530" ht="19.5" customHeight="1">
      <c r="N530" s="190"/>
    </row>
    <row r="531" ht="19.5" customHeight="1">
      <c r="N531" s="190"/>
    </row>
    <row r="532" ht="19.5" customHeight="1">
      <c r="N532" s="190"/>
    </row>
    <row r="533" ht="19.5" customHeight="1">
      <c r="N533" s="190"/>
    </row>
    <row r="534" ht="19.5" customHeight="1">
      <c r="N534" s="190"/>
    </row>
    <row r="535" ht="19.5" customHeight="1">
      <c r="N535" s="190"/>
    </row>
    <row r="536" ht="19.5" customHeight="1">
      <c r="N536" s="190"/>
    </row>
    <row r="537" ht="19.5" customHeight="1">
      <c r="N537" s="190"/>
    </row>
    <row r="538" ht="19.5" customHeight="1">
      <c r="N538" s="190"/>
    </row>
    <row r="539" ht="19.5" customHeight="1">
      <c r="N539" s="190"/>
    </row>
    <row r="540" ht="19.5" customHeight="1">
      <c r="N540" s="190"/>
    </row>
    <row r="541" ht="19.5" customHeight="1">
      <c r="N541" s="190"/>
    </row>
    <row r="542" ht="19.5" customHeight="1">
      <c r="N542" s="190"/>
    </row>
    <row r="543" ht="19.5" customHeight="1">
      <c r="N543" s="190"/>
    </row>
    <row r="544" ht="19.5" customHeight="1">
      <c r="N544" s="190"/>
    </row>
    <row r="545" ht="19.5" customHeight="1">
      <c r="N545" s="190"/>
    </row>
    <row r="546" ht="19.5" customHeight="1">
      <c r="N546" s="190"/>
    </row>
    <row r="547" ht="19.5" customHeight="1">
      <c r="N547" s="190"/>
    </row>
    <row r="548" ht="19.5" customHeight="1">
      <c r="N548" s="190"/>
    </row>
    <row r="549" ht="19.5" customHeight="1">
      <c r="N549" s="190"/>
    </row>
    <row r="550" ht="19.5" customHeight="1">
      <c r="N550" s="190"/>
    </row>
    <row r="551" ht="19.5" customHeight="1">
      <c r="N551" s="190"/>
    </row>
    <row r="552" ht="19.5" customHeight="1">
      <c r="N552" s="190"/>
    </row>
    <row r="553" ht="19.5" customHeight="1">
      <c r="N553" s="190"/>
    </row>
    <row r="554" ht="19.5" customHeight="1">
      <c r="N554" s="190"/>
    </row>
    <row r="555" ht="19.5" customHeight="1">
      <c r="N555" s="190"/>
    </row>
    <row r="556" ht="19.5" customHeight="1">
      <c r="N556" s="190"/>
    </row>
    <row r="557" ht="19.5" customHeight="1">
      <c r="N557" s="190"/>
    </row>
    <row r="558" ht="19.5" customHeight="1">
      <c r="N558" s="190"/>
    </row>
    <row r="559" ht="19.5" customHeight="1">
      <c r="N559" s="190"/>
    </row>
    <row r="560" ht="19.5" customHeight="1">
      <c r="N560" s="190"/>
    </row>
    <row r="561" ht="19.5" customHeight="1">
      <c r="N561" s="190"/>
    </row>
    <row r="562" ht="19.5" customHeight="1">
      <c r="N562" s="190"/>
    </row>
    <row r="563" ht="19.5" customHeight="1">
      <c r="N563" s="190"/>
    </row>
    <row r="564" ht="19.5" customHeight="1">
      <c r="N564" s="190"/>
    </row>
    <row r="565" ht="19.5" customHeight="1">
      <c r="N565" s="190"/>
    </row>
    <row r="566" ht="19.5" customHeight="1">
      <c r="N566" s="190"/>
    </row>
    <row r="567" ht="19.5" customHeight="1">
      <c r="N567" s="190"/>
    </row>
    <row r="568" ht="19.5" customHeight="1">
      <c r="N568" s="190"/>
    </row>
    <row r="569" ht="19.5" customHeight="1">
      <c r="N569" s="190"/>
    </row>
    <row r="570" ht="19.5" customHeight="1">
      <c r="N570" s="190"/>
    </row>
    <row r="571" ht="19.5" customHeight="1">
      <c r="N571" s="190"/>
    </row>
    <row r="572" ht="19.5" customHeight="1">
      <c r="N572" s="190"/>
    </row>
    <row r="573" ht="19.5" customHeight="1">
      <c r="N573" s="190"/>
    </row>
    <row r="574" ht="19.5" customHeight="1">
      <c r="N574" s="190"/>
    </row>
    <row r="575" ht="19.5" customHeight="1">
      <c r="N575" s="190"/>
    </row>
    <row r="576" ht="19.5" customHeight="1">
      <c r="N576" s="190"/>
    </row>
    <row r="577" ht="19.5" customHeight="1">
      <c r="N577" s="190"/>
    </row>
    <row r="578" ht="19.5" customHeight="1">
      <c r="N578" s="190"/>
    </row>
    <row r="579" ht="19.5" customHeight="1">
      <c r="N579" s="190"/>
    </row>
    <row r="580" ht="19.5" customHeight="1">
      <c r="N580" s="190"/>
    </row>
    <row r="581" ht="19.5" customHeight="1">
      <c r="N581" s="190"/>
    </row>
    <row r="582" ht="19.5" customHeight="1">
      <c r="N582" s="190"/>
    </row>
    <row r="583" ht="19.5" customHeight="1">
      <c r="N583" s="190"/>
    </row>
    <row r="584" ht="19.5" customHeight="1">
      <c r="N584" s="190"/>
    </row>
    <row r="585" ht="19.5" customHeight="1">
      <c r="N585" s="190"/>
    </row>
    <row r="586" ht="19.5" customHeight="1">
      <c r="N586" s="190"/>
    </row>
    <row r="587" ht="19.5" customHeight="1">
      <c r="N587" s="190"/>
    </row>
    <row r="588" ht="19.5" customHeight="1">
      <c r="N588" s="190"/>
    </row>
    <row r="589" ht="19.5" customHeight="1">
      <c r="N589" s="190"/>
    </row>
    <row r="590" ht="19.5" customHeight="1">
      <c r="N590" s="190"/>
    </row>
    <row r="591" ht="19.5" customHeight="1">
      <c r="N591" s="190"/>
    </row>
    <row r="592" ht="19.5" customHeight="1">
      <c r="N592" s="190"/>
    </row>
    <row r="593" ht="19.5" customHeight="1">
      <c r="N593" s="190"/>
    </row>
    <row r="594" ht="19.5" customHeight="1">
      <c r="N594" s="190"/>
    </row>
    <row r="595" ht="19.5" customHeight="1">
      <c r="N595" s="190"/>
    </row>
    <row r="596" ht="19.5" customHeight="1">
      <c r="N596" s="190"/>
    </row>
    <row r="597" ht="19.5" customHeight="1">
      <c r="N597" s="190"/>
    </row>
    <row r="598" ht="19.5" customHeight="1">
      <c r="N598" s="190"/>
    </row>
    <row r="599" ht="19.5" customHeight="1">
      <c r="N599" s="190"/>
    </row>
    <row r="600" ht="19.5" customHeight="1">
      <c r="N600" s="190"/>
    </row>
    <row r="601" ht="19.5" customHeight="1">
      <c r="N601" s="190"/>
    </row>
    <row r="602" ht="19.5" customHeight="1">
      <c r="N602" s="190"/>
    </row>
    <row r="603" ht="19.5" customHeight="1">
      <c r="N603" s="190"/>
    </row>
    <row r="604" ht="19.5" customHeight="1">
      <c r="N604" s="190"/>
    </row>
    <row r="605" ht="19.5" customHeight="1">
      <c r="N605" s="190"/>
    </row>
    <row r="606" ht="19.5" customHeight="1">
      <c r="N606" s="190"/>
    </row>
    <row r="607" ht="19.5" customHeight="1">
      <c r="N607" s="190"/>
    </row>
    <row r="608" ht="19.5" customHeight="1">
      <c r="N608" s="190"/>
    </row>
    <row r="609" ht="19.5" customHeight="1">
      <c r="N609" s="190"/>
    </row>
    <row r="610" ht="19.5" customHeight="1">
      <c r="N610" s="190"/>
    </row>
    <row r="611" ht="19.5" customHeight="1">
      <c r="N611" s="190"/>
    </row>
    <row r="612" ht="19.5" customHeight="1">
      <c r="N612" s="190"/>
    </row>
    <row r="613" ht="19.5" customHeight="1">
      <c r="N613" s="190"/>
    </row>
    <row r="614" ht="19.5" customHeight="1">
      <c r="N614" s="190"/>
    </row>
    <row r="615" ht="19.5" customHeight="1">
      <c r="N615" s="190"/>
    </row>
    <row r="616" ht="19.5" customHeight="1">
      <c r="N616" s="190"/>
    </row>
    <row r="617" ht="19.5" customHeight="1">
      <c r="N617" s="190"/>
    </row>
    <row r="618" ht="19.5" customHeight="1">
      <c r="N618" s="190"/>
    </row>
    <row r="619" ht="19.5" customHeight="1">
      <c r="N619" s="190"/>
    </row>
    <row r="620" ht="19.5" customHeight="1">
      <c r="N620" s="190"/>
    </row>
    <row r="621" ht="19.5" customHeight="1">
      <c r="N621" s="190"/>
    </row>
    <row r="622" ht="19.5" customHeight="1">
      <c r="N622" s="190"/>
    </row>
    <row r="623" ht="19.5" customHeight="1">
      <c r="N623" s="190"/>
    </row>
    <row r="624" ht="19.5" customHeight="1">
      <c r="N624" s="190"/>
    </row>
    <row r="625" ht="19.5" customHeight="1">
      <c r="N625" s="190"/>
    </row>
    <row r="626" ht="19.5" customHeight="1">
      <c r="N626" s="190"/>
    </row>
    <row r="627" ht="19.5" customHeight="1">
      <c r="N627" s="190"/>
    </row>
    <row r="628" ht="19.5" customHeight="1">
      <c r="N628" s="190"/>
    </row>
    <row r="629" ht="19.5" customHeight="1">
      <c r="N629" s="190"/>
    </row>
    <row r="630" ht="19.5" customHeight="1">
      <c r="N630" s="190"/>
    </row>
    <row r="631" ht="19.5" customHeight="1">
      <c r="N631" s="190"/>
    </row>
    <row r="632" ht="19.5" customHeight="1">
      <c r="N632" s="190"/>
    </row>
    <row r="633" ht="19.5" customHeight="1">
      <c r="N633" s="190"/>
    </row>
    <row r="634" ht="19.5" customHeight="1">
      <c r="N634" s="190"/>
    </row>
    <row r="635" ht="19.5" customHeight="1">
      <c r="N635" s="190"/>
    </row>
    <row r="636" ht="19.5" customHeight="1">
      <c r="N636" s="190"/>
    </row>
    <row r="637" ht="19.5" customHeight="1">
      <c r="N637" s="190"/>
    </row>
    <row r="638" ht="19.5" customHeight="1">
      <c r="N638" s="190"/>
    </row>
    <row r="639" ht="19.5" customHeight="1">
      <c r="N639" s="190"/>
    </row>
    <row r="640" ht="19.5" customHeight="1">
      <c r="N640" s="190"/>
    </row>
    <row r="641" ht="19.5" customHeight="1">
      <c r="N641" s="190"/>
    </row>
    <row r="642" ht="19.5" customHeight="1">
      <c r="N642" s="190"/>
    </row>
    <row r="643" ht="19.5" customHeight="1">
      <c r="N643" s="190"/>
    </row>
    <row r="644" ht="19.5" customHeight="1">
      <c r="N644" s="190"/>
    </row>
    <row r="645" ht="19.5" customHeight="1">
      <c r="N645" s="190"/>
    </row>
    <row r="646" ht="19.5" customHeight="1">
      <c r="N646" s="190"/>
    </row>
    <row r="647" ht="19.5" customHeight="1">
      <c r="N647" s="190"/>
    </row>
    <row r="648" ht="19.5" customHeight="1">
      <c r="N648" s="190"/>
    </row>
    <row r="649" ht="19.5" customHeight="1">
      <c r="N649" s="190"/>
    </row>
    <row r="650" ht="19.5" customHeight="1">
      <c r="N650" s="190"/>
    </row>
    <row r="651" ht="19.5" customHeight="1">
      <c r="N651" s="190"/>
    </row>
    <row r="652" ht="19.5" customHeight="1">
      <c r="N652" s="190"/>
    </row>
    <row r="653" ht="19.5" customHeight="1">
      <c r="N653" s="190"/>
    </row>
    <row r="654" ht="19.5" customHeight="1">
      <c r="N654" s="190"/>
    </row>
    <row r="655" ht="19.5" customHeight="1">
      <c r="N655" s="190"/>
    </row>
    <row r="656" ht="19.5" customHeight="1">
      <c r="N656" s="190"/>
    </row>
    <row r="657" ht="19.5" customHeight="1">
      <c r="N657" s="190"/>
    </row>
    <row r="658" ht="19.5" customHeight="1">
      <c r="N658" s="190"/>
    </row>
    <row r="659" ht="19.5" customHeight="1">
      <c r="N659" s="190"/>
    </row>
    <row r="660" ht="19.5" customHeight="1">
      <c r="N660" s="190"/>
    </row>
    <row r="661" ht="19.5" customHeight="1">
      <c r="N661" s="190"/>
    </row>
    <row r="662" ht="19.5" customHeight="1">
      <c r="N662" s="190"/>
    </row>
    <row r="663" ht="19.5" customHeight="1">
      <c r="N663" s="190"/>
    </row>
    <row r="664" ht="19.5" customHeight="1">
      <c r="N664" s="190"/>
    </row>
    <row r="665" ht="19.5" customHeight="1">
      <c r="N665" s="190"/>
    </row>
    <row r="666" ht="19.5" customHeight="1">
      <c r="N666" s="190"/>
    </row>
    <row r="667" ht="19.5" customHeight="1">
      <c r="N667" s="190"/>
    </row>
    <row r="668" ht="19.5" customHeight="1">
      <c r="N668" s="190"/>
    </row>
    <row r="669" ht="19.5" customHeight="1">
      <c r="N669" s="190"/>
    </row>
    <row r="670" ht="19.5" customHeight="1">
      <c r="N670" s="190"/>
    </row>
    <row r="671" ht="19.5" customHeight="1">
      <c r="N671" s="190"/>
    </row>
    <row r="672" ht="19.5" customHeight="1">
      <c r="N672" s="190"/>
    </row>
    <row r="673" ht="19.5" customHeight="1">
      <c r="N673" s="190"/>
    </row>
    <row r="674" ht="19.5" customHeight="1">
      <c r="N674" s="190"/>
    </row>
    <row r="675" ht="19.5" customHeight="1">
      <c r="N675" s="190"/>
    </row>
    <row r="676" ht="19.5" customHeight="1">
      <c r="N676" s="190"/>
    </row>
    <row r="677" ht="19.5" customHeight="1">
      <c r="N677" s="190"/>
    </row>
    <row r="678" ht="19.5" customHeight="1">
      <c r="N678" s="190"/>
    </row>
    <row r="679" ht="19.5" customHeight="1">
      <c r="N679" s="190"/>
    </row>
    <row r="680" ht="19.5" customHeight="1">
      <c r="N680" s="190"/>
    </row>
    <row r="681" ht="19.5" customHeight="1">
      <c r="N681" s="190"/>
    </row>
    <row r="682" ht="19.5" customHeight="1">
      <c r="N682" s="190"/>
    </row>
    <row r="683" ht="19.5" customHeight="1">
      <c r="N683" s="190"/>
    </row>
    <row r="684" ht="19.5" customHeight="1">
      <c r="N684" s="190"/>
    </row>
    <row r="685" ht="19.5" customHeight="1">
      <c r="N685" s="190"/>
    </row>
    <row r="686" ht="19.5" customHeight="1">
      <c r="N686" s="190"/>
    </row>
    <row r="687" ht="19.5" customHeight="1">
      <c r="N687" s="190"/>
    </row>
    <row r="688" ht="19.5" customHeight="1">
      <c r="N688" s="190"/>
    </row>
    <row r="689" ht="19.5" customHeight="1">
      <c r="N689" s="190"/>
    </row>
    <row r="690" ht="19.5" customHeight="1">
      <c r="N690" s="190"/>
    </row>
    <row r="691" ht="19.5" customHeight="1">
      <c r="N691" s="190"/>
    </row>
    <row r="692" ht="19.5" customHeight="1">
      <c r="N692" s="190"/>
    </row>
    <row r="693" ht="19.5" customHeight="1">
      <c r="N693" s="190"/>
    </row>
    <row r="694" ht="19.5" customHeight="1">
      <c r="N694" s="190"/>
    </row>
    <row r="695" ht="19.5" customHeight="1">
      <c r="N695" s="190"/>
    </row>
    <row r="696" ht="19.5" customHeight="1">
      <c r="N696" s="190"/>
    </row>
    <row r="697" ht="19.5" customHeight="1">
      <c r="N697" s="190"/>
    </row>
    <row r="698" ht="19.5" customHeight="1">
      <c r="N698" s="190"/>
    </row>
    <row r="699" ht="19.5" customHeight="1">
      <c r="N699" s="190"/>
    </row>
    <row r="700" ht="19.5" customHeight="1">
      <c r="N700" s="190"/>
    </row>
    <row r="701" ht="19.5" customHeight="1">
      <c r="N701" s="190"/>
    </row>
    <row r="702" ht="19.5" customHeight="1">
      <c r="N702" s="190"/>
    </row>
    <row r="703" ht="19.5" customHeight="1">
      <c r="N703" s="190"/>
    </row>
    <row r="704" ht="19.5" customHeight="1">
      <c r="N704" s="190"/>
    </row>
    <row r="705" ht="19.5" customHeight="1">
      <c r="N705" s="190"/>
    </row>
    <row r="706" ht="19.5" customHeight="1">
      <c r="N706" s="190"/>
    </row>
    <row r="707" ht="19.5" customHeight="1">
      <c r="N707" s="190"/>
    </row>
    <row r="708" ht="19.5" customHeight="1">
      <c r="N708" s="190"/>
    </row>
    <row r="709" ht="19.5" customHeight="1">
      <c r="N709" s="190"/>
    </row>
    <row r="710" ht="19.5" customHeight="1">
      <c r="N710" s="190"/>
    </row>
    <row r="711" ht="19.5" customHeight="1">
      <c r="N711" s="190"/>
    </row>
    <row r="712" ht="19.5" customHeight="1">
      <c r="N712" s="190"/>
    </row>
    <row r="713" ht="19.5" customHeight="1">
      <c r="N713" s="190"/>
    </row>
    <row r="714" ht="19.5" customHeight="1">
      <c r="N714" s="190"/>
    </row>
    <row r="715" ht="19.5" customHeight="1">
      <c r="N715" s="190"/>
    </row>
    <row r="716" ht="19.5" customHeight="1">
      <c r="N716" s="190"/>
    </row>
    <row r="717" ht="19.5" customHeight="1">
      <c r="N717" s="190"/>
    </row>
    <row r="718" ht="19.5" customHeight="1">
      <c r="N718" s="190"/>
    </row>
    <row r="719" ht="19.5" customHeight="1">
      <c r="N719" s="190"/>
    </row>
    <row r="720" ht="19.5" customHeight="1">
      <c r="N720" s="190"/>
    </row>
    <row r="721" ht="19.5" customHeight="1">
      <c r="N721" s="190"/>
    </row>
    <row r="722" ht="19.5" customHeight="1">
      <c r="N722" s="190"/>
    </row>
    <row r="723" ht="19.5" customHeight="1">
      <c r="N723" s="190"/>
    </row>
    <row r="724" ht="19.5" customHeight="1">
      <c r="N724" s="190"/>
    </row>
    <row r="725" ht="19.5" customHeight="1">
      <c r="N725" s="190"/>
    </row>
    <row r="726" ht="19.5" customHeight="1">
      <c r="N726" s="190"/>
    </row>
    <row r="727" ht="19.5" customHeight="1">
      <c r="N727" s="190"/>
    </row>
    <row r="728" ht="19.5" customHeight="1">
      <c r="N728" s="190"/>
    </row>
    <row r="729" ht="19.5" customHeight="1">
      <c r="N729" s="190"/>
    </row>
    <row r="730" ht="19.5" customHeight="1">
      <c r="N730" s="190"/>
    </row>
    <row r="731" ht="19.5" customHeight="1">
      <c r="N731" s="190"/>
    </row>
    <row r="732" ht="19.5" customHeight="1">
      <c r="N732" s="190"/>
    </row>
    <row r="733" ht="19.5" customHeight="1">
      <c r="N733" s="190"/>
    </row>
    <row r="734" ht="19.5" customHeight="1">
      <c r="N734" s="190"/>
    </row>
    <row r="735" ht="19.5" customHeight="1">
      <c r="N735" s="190"/>
    </row>
    <row r="736" ht="19.5" customHeight="1">
      <c r="N736" s="190"/>
    </row>
    <row r="737" ht="19.5" customHeight="1">
      <c r="N737" s="190"/>
    </row>
    <row r="738" ht="19.5" customHeight="1">
      <c r="N738" s="190"/>
    </row>
    <row r="739" ht="19.5" customHeight="1">
      <c r="N739" s="190"/>
    </row>
    <row r="740" ht="19.5" customHeight="1">
      <c r="N740" s="190"/>
    </row>
    <row r="741" ht="19.5" customHeight="1">
      <c r="N741" s="190"/>
    </row>
    <row r="742" ht="19.5" customHeight="1">
      <c r="N742" s="190"/>
    </row>
    <row r="743" ht="19.5" customHeight="1">
      <c r="N743" s="190"/>
    </row>
    <row r="744" ht="19.5" customHeight="1">
      <c r="N744" s="190"/>
    </row>
    <row r="745" ht="19.5" customHeight="1">
      <c r="N745" s="190"/>
    </row>
    <row r="746" ht="19.5" customHeight="1">
      <c r="N746" s="190"/>
    </row>
    <row r="747" ht="19.5" customHeight="1">
      <c r="N747" s="190"/>
    </row>
    <row r="748" ht="19.5" customHeight="1">
      <c r="N748" s="190"/>
    </row>
    <row r="749" ht="19.5" customHeight="1">
      <c r="N749" s="190"/>
    </row>
    <row r="750" ht="19.5" customHeight="1">
      <c r="N750" s="190"/>
    </row>
    <row r="751" ht="19.5" customHeight="1">
      <c r="N751" s="190"/>
    </row>
    <row r="752" ht="19.5" customHeight="1">
      <c r="N752" s="190"/>
    </row>
    <row r="753" ht="19.5" customHeight="1">
      <c r="N753" s="190"/>
    </row>
    <row r="754" ht="19.5" customHeight="1">
      <c r="N754" s="190"/>
    </row>
    <row r="755" ht="19.5" customHeight="1">
      <c r="N755" s="190"/>
    </row>
    <row r="756" ht="19.5" customHeight="1">
      <c r="N756" s="190"/>
    </row>
    <row r="757" ht="19.5" customHeight="1">
      <c r="N757" s="190"/>
    </row>
    <row r="758" ht="19.5" customHeight="1">
      <c r="N758" s="190"/>
    </row>
    <row r="759" ht="19.5" customHeight="1">
      <c r="N759" s="190"/>
    </row>
    <row r="760" ht="19.5" customHeight="1">
      <c r="N760" s="190"/>
    </row>
    <row r="761" ht="19.5" customHeight="1">
      <c r="N761" s="190"/>
    </row>
    <row r="762" ht="19.5" customHeight="1">
      <c r="N762" s="190"/>
    </row>
    <row r="763" ht="19.5" customHeight="1">
      <c r="N763" s="190"/>
    </row>
    <row r="764" ht="19.5" customHeight="1">
      <c r="N764" s="190"/>
    </row>
    <row r="765" ht="19.5" customHeight="1">
      <c r="N765" s="190"/>
    </row>
    <row r="766" ht="19.5" customHeight="1">
      <c r="N766" s="190"/>
    </row>
    <row r="767" ht="19.5" customHeight="1">
      <c r="N767" s="190"/>
    </row>
    <row r="768" ht="19.5" customHeight="1">
      <c r="N768" s="190"/>
    </row>
    <row r="769" ht="19.5" customHeight="1">
      <c r="N769" s="190"/>
    </row>
    <row r="770" ht="19.5" customHeight="1">
      <c r="N770" s="190"/>
    </row>
    <row r="771" ht="19.5" customHeight="1">
      <c r="N771" s="190"/>
    </row>
    <row r="772" ht="19.5" customHeight="1">
      <c r="N772" s="190"/>
    </row>
    <row r="773" ht="19.5" customHeight="1">
      <c r="N773" s="190"/>
    </row>
    <row r="774" ht="19.5" customHeight="1">
      <c r="N774" s="190"/>
    </row>
    <row r="775" ht="19.5" customHeight="1">
      <c r="N775" s="190"/>
    </row>
    <row r="776" ht="19.5" customHeight="1">
      <c r="N776" s="190"/>
    </row>
    <row r="777" ht="19.5" customHeight="1">
      <c r="N777" s="190"/>
    </row>
    <row r="778" ht="19.5" customHeight="1">
      <c r="N778" s="190"/>
    </row>
    <row r="779" ht="19.5" customHeight="1">
      <c r="N779" s="190"/>
    </row>
    <row r="780" ht="19.5" customHeight="1">
      <c r="N780" s="190"/>
    </row>
    <row r="781" ht="19.5" customHeight="1">
      <c r="N781" s="190"/>
    </row>
    <row r="782" ht="19.5" customHeight="1">
      <c r="N782" s="190"/>
    </row>
    <row r="783" ht="19.5" customHeight="1">
      <c r="N783" s="190"/>
    </row>
    <row r="784" ht="19.5" customHeight="1">
      <c r="N784" s="190"/>
    </row>
    <row r="785" ht="19.5" customHeight="1">
      <c r="N785" s="190"/>
    </row>
    <row r="786" ht="19.5" customHeight="1">
      <c r="N786" s="190"/>
    </row>
    <row r="787" ht="19.5" customHeight="1">
      <c r="N787" s="190"/>
    </row>
    <row r="788" ht="19.5" customHeight="1">
      <c r="N788" s="190"/>
    </row>
    <row r="789" ht="19.5" customHeight="1">
      <c r="N789" s="190"/>
    </row>
    <row r="790" ht="19.5" customHeight="1">
      <c r="N790" s="190"/>
    </row>
    <row r="791" ht="19.5" customHeight="1">
      <c r="N791" s="190"/>
    </row>
    <row r="792" ht="19.5" customHeight="1">
      <c r="N792" s="190"/>
    </row>
    <row r="793" ht="19.5" customHeight="1">
      <c r="N793" s="190"/>
    </row>
    <row r="794" ht="19.5" customHeight="1">
      <c r="N794" s="190"/>
    </row>
    <row r="795" ht="19.5" customHeight="1">
      <c r="N795" s="190"/>
    </row>
    <row r="796" ht="19.5" customHeight="1">
      <c r="N796" s="190"/>
    </row>
    <row r="797" ht="19.5" customHeight="1">
      <c r="N797" s="190"/>
    </row>
    <row r="798" ht="19.5" customHeight="1">
      <c r="N798" s="190"/>
    </row>
    <row r="799" ht="19.5" customHeight="1">
      <c r="N799" s="190"/>
    </row>
    <row r="800" ht="19.5" customHeight="1">
      <c r="N800" s="190"/>
    </row>
    <row r="801" ht="19.5" customHeight="1">
      <c r="N801" s="190"/>
    </row>
    <row r="802" ht="19.5" customHeight="1">
      <c r="N802" s="190"/>
    </row>
    <row r="803" ht="19.5" customHeight="1">
      <c r="N803" s="190"/>
    </row>
    <row r="804" ht="19.5" customHeight="1">
      <c r="N804" s="190"/>
    </row>
    <row r="805" ht="19.5" customHeight="1">
      <c r="N805" s="190"/>
    </row>
    <row r="806" ht="19.5" customHeight="1">
      <c r="N806" s="190"/>
    </row>
    <row r="807" ht="19.5" customHeight="1">
      <c r="N807" s="190"/>
    </row>
    <row r="808" ht="19.5" customHeight="1">
      <c r="N808" s="190"/>
    </row>
    <row r="809" ht="19.5" customHeight="1">
      <c r="N809" s="190"/>
    </row>
    <row r="810" ht="19.5" customHeight="1">
      <c r="N810" s="190"/>
    </row>
    <row r="811" ht="19.5" customHeight="1">
      <c r="N811" s="190"/>
    </row>
    <row r="812" ht="19.5" customHeight="1">
      <c r="N812" s="190"/>
    </row>
    <row r="813" ht="19.5" customHeight="1">
      <c r="N813" s="190"/>
    </row>
    <row r="814" ht="19.5" customHeight="1">
      <c r="N814" s="190"/>
    </row>
    <row r="815" ht="19.5" customHeight="1">
      <c r="N815" s="190"/>
    </row>
    <row r="816" ht="19.5" customHeight="1">
      <c r="N816" s="190"/>
    </row>
    <row r="817" ht="19.5" customHeight="1">
      <c r="N817" s="190"/>
    </row>
    <row r="818" ht="19.5" customHeight="1">
      <c r="N818" s="190"/>
    </row>
    <row r="819" ht="19.5" customHeight="1">
      <c r="N819" s="190"/>
    </row>
    <row r="820" ht="19.5" customHeight="1">
      <c r="N820" s="190"/>
    </row>
    <row r="821" ht="19.5" customHeight="1">
      <c r="N821" s="190"/>
    </row>
    <row r="822" ht="19.5" customHeight="1">
      <c r="N822" s="190"/>
    </row>
    <row r="823" ht="19.5" customHeight="1">
      <c r="N823" s="190"/>
    </row>
    <row r="824" ht="19.5" customHeight="1">
      <c r="N824" s="190"/>
    </row>
    <row r="825" ht="19.5" customHeight="1">
      <c r="N825" s="190"/>
    </row>
    <row r="826" ht="19.5" customHeight="1">
      <c r="N826" s="190"/>
    </row>
    <row r="827" ht="19.5" customHeight="1">
      <c r="N827" s="190"/>
    </row>
    <row r="828" ht="19.5" customHeight="1">
      <c r="N828" s="190"/>
    </row>
    <row r="829" ht="19.5" customHeight="1">
      <c r="N829" s="190"/>
    </row>
    <row r="830" ht="19.5" customHeight="1">
      <c r="N830" s="190"/>
    </row>
    <row r="831" ht="19.5" customHeight="1">
      <c r="N831" s="190"/>
    </row>
    <row r="832" ht="19.5" customHeight="1">
      <c r="N832" s="190"/>
    </row>
    <row r="833" ht="19.5" customHeight="1">
      <c r="N833" s="190"/>
    </row>
    <row r="834" ht="19.5" customHeight="1">
      <c r="N834" s="190"/>
    </row>
    <row r="835" ht="19.5" customHeight="1">
      <c r="N835" s="190"/>
    </row>
    <row r="836" ht="19.5" customHeight="1">
      <c r="N836" s="190"/>
    </row>
    <row r="837" ht="19.5" customHeight="1">
      <c r="N837" s="190"/>
    </row>
    <row r="838" ht="19.5" customHeight="1">
      <c r="N838" s="190"/>
    </row>
    <row r="839" ht="19.5" customHeight="1">
      <c r="N839" s="190"/>
    </row>
    <row r="840" ht="19.5" customHeight="1">
      <c r="N840" s="190"/>
    </row>
    <row r="841" ht="19.5" customHeight="1">
      <c r="N841" s="190"/>
    </row>
    <row r="842" ht="19.5" customHeight="1">
      <c r="N842" s="190"/>
    </row>
    <row r="843" ht="19.5" customHeight="1">
      <c r="N843" s="190"/>
    </row>
    <row r="844" ht="19.5" customHeight="1">
      <c r="N844" s="190"/>
    </row>
    <row r="845" ht="19.5" customHeight="1">
      <c r="N845" s="190"/>
    </row>
    <row r="846" ht="19.5" customHeight="1">
      <c r="N846" s="190"/>
    </row>
    <row r="847" ht="19.5" customHeight="1">
      <c r="N847" s="190"/>
    </row>
    <row r="848" ht="19.5" customHeight="1">
      <c r="N848" s="190"/>
    </row>
    <row r="849" ht="19.5" customHeight="1">
      <c r="N849" s="190"/>
    </row>
    <row r="850" ht="19.5" customHeight="1">
      <c r="N850" s="190"/>
    </row>
    <row r="851" ht="19.5" customHeight="1">
      <c r="N851" s="190"/>
    </row>
    <row r="852" ht="19.5" customHeight="1">
      <c r="N852" s="190"/>
    </row>
    <row r="853" ht="19.5" customHeight="1">
      <c r="N853" s="190"/>
    </row>
    <row r="854" ht="19.5" customHeight="1">
      <c r="N854" s="190"/>
    </row>
    <row r="855" ht="19.5" customHeight="1">
      <c r="N855" s="190"/>
    </row>
    <row r="856" ht="19.5" customHeight="1">
      <c r="N856" s="190"/>
    </row>
    <row r="857" ht="19.5" customHeight="1">
      <c r="N857" s="190"/>
    </row>
    <row r="858" ht="19.5" customHeight="1">
      <c r="N858" s="190"/>
    </row>
    <row r="859" ht="19.5" customHeight="1">
      <c r="N859" s="190"/>
    </row>
    <row r="860" ht="19.5" customHeight="1">
      <c r="N860" s="190"/>
    </row>
    <row r="861" ht="19.5" customHeight="1">
      <c r="N861" s="190"/>
    </row>
    <row r="862" ht="19.5" customHeight="1">
      <c r="N862" s="190"/>
    </row>
    <row r="863" ht="19.5" customHeight="1">
      <c r="N863" s="190"/>
    </row>
    <row r="864" ht="19.5" customHeight="1">
      <c r="N864" s="190"/>
    </row>
    <row r="865" ht="19.5" customHeight="1">
      <c r="N865" s="190"/>
    </row>
    <row r="866" ht="19.5" customHeight="1">
      <c r="N866" s="190"/>
    </row>
    <row r="867" ht="19.5" customHeight="1">
      <c r="N867" s="190"/>
    </row>
    <row r="868" ht="19.5" customHeight="1">
      <c r="N868" s="190"/>
    </row>
    <row r="869" ht="19.5" customHeight="1">
      <c r="N869" s="190"/>
    </row>
    <row r="870" ht="19.5" customHeight="1">
      <c r="N870" s="190"/>
    </row>
    <row r="871" ht="19.5" customHeight="1">
      <c r="N871" s="190"/>
    </row>
    <row r="872" ht="19.5" customHeight="1">
      <c r="N872" s="190"/>
    </row>
    <row r="873" ht="19.5" customHeight="1">
      <c r="N873" s="190"/>
    </row>
    <row r="874" ht="19.5" customHeight="1">
      <c r="N874" s="190"/>
    </row>
    <row r="875" ht="19.5" customHeight="1">
      <c r="N875" s="190"/>
    </row>
    <row r="876" ht="19.5" customHeight="1">
      <c r="N876" s="190"/>
    </row>
    <row r="877" ht="19.5" customHeight="1">
      <c r="N877" s="190"/>
    </row>
    <row r="878" ht="19.5" customHeight="1">
      <c r="N878" s="190"/>
    </row>
    <row r="879" ht="19.5" customHeight="1">
      <c r="N879" s="190"/>
    </row>
    <row r="880" ht="19.5" customHeight="1">
      <c r="N880" s="190"/>
    </row>
    <row r="881" ht="19.5" customHeight="1">
      <c r="N881" s="190"/>
    </row>
    <row r="882" ht="19.5" customHeight="1">
      <c r="N882" s="190"/>
    </row>
    <row r="883" ht="19.5" customHeight="1">
      <c r="N883" s="190"/>
    </row>
    <row r="884" ht="19.5" customHeight="1">
      <c r="N884" s="190"/>
    </row>
    <row r="885" ht="19.5" customHeight="1">
      <c r="N885" s="190"/>
    </row>
    <row r="886" ht="19.5" customHeight="1">
      <c r="N886" s="190"/>
    </row>
    <row r="887" ht="19.5" customHeight="1">
      <c r="N887" s="190"/>
    </row>
    <row r="888" ht="19.5" customHeight="1">
      <c r="N888" s="190"/>
    </row>
    <row r="889" ht="19.5" customHeight="1">
      <c r="N889" s="190"/>
    </row>
    <row r="890" ht="19.5" customHeight="1">
      <c r="N890" s="190"/>
    </row>
    <row r="891" ht="19.5" customHeight="1">
      <c r="N891" s="190"/>
    </row>
    <row r="892" ht="19.5" customHeight="1">
      <c r="N892" s="190"/>
    </row>
    <row r="893" ht="19.5" customHeight="1">
      <c r="N893" s="190"/>
    </row>
    <row r="894" ht="19.5" customHeight="1">
      <c r="N894" s="190"/>
    </row>
    <row r="895" ht="19.5" customHeight="1">
      <c r="N895" s="190"/>
    </row>
    <row r="896" ht="19.5" customHeight="1">
      <c r="N896" s="190"/>
    </row>
    <row r="897" ht="19.5" customHeight="1">
      <c r="N897" s="190"/>
    </row>
    <row r="898" ht="19.5" customHeight="1">
      <c r="N898" s="190"/>
    </row>
    <row r="899" ht="19.5" customHeight="1">
      <c r="N899" s="190"/>
    </row>
    <row r="900" ht="19.5" customHeight="1">
      <c r="N900" s="190"/>
    </row>
    <row r="901" ht="19.5" customHeight="1">
      <c r="N901" s="190"/>
    </row>
    <row r="902" ht="19.5" customHeight="1">
      <c r="N902" s="190"/>
    </row>
    <row r="903" ht="19.5" customHeight="1">
      <c r="N903" s="190"/>
    </row>
    <row r="904" ht="19.5" customHeight="1">
      <c r="N904" s="190"/>
    </row>
    <row r="905" ht="19.5" customHeight="1">
      <c r="N905" s="190"/>
    </row>
    <row r="906" ht="19.5" customHeight="1">
      <c r="N906" s="190"/>
    </row>
    <row r="907" ht="19.5" customHeight="1">
      <c r="N907" s="190"/>
    </row>
    <row r="908" ht="19.5" customHeight="1">
      <c r="N908" s="190"/>
    </row>
    <row r="909" ht="19.5" customHeight="1">
      <c r="N909" s="190"/>
    </row>
    <row r="910" ht="19.5" customHeight="1">
      <c r="N910" s="190"/>
    </row>
    <row r="911" ht="19.5" customHeight="1">
      <c r="N911" s="190"/>
    </row>
    <row r="912" ht="19.5" customHeight="1">
      <c r="N912" s="190"/>
    </row>
    <row r="913" ht="19.5" customHeight="1">
      <c r="N913" s="190"/>
    </row>
    <row r="914" ht="19.5" customHeight="1">
      <c r="N914" s="190"/>
    </row>
    <row r="915" ht="19.5" customHeight="1">
      <c r="N915" s="190"/>
    </row>
    <row r="916" ht="19.5" customHeight="1">
      <c r="N916" s="190"/>
    </row>
    <row r="917" ht="19.5" customHeight="1">
      <c r="N917" s="190"/>
    </row>
    <row r="918" ht="19.5" customHeight="1">
      <c r="N918" s="190"/>
    </row>
    <row r="919" ht="19.5" customHeight="1">
      <c r="N919" s="190"/>
    </row>
    <row r="920" ht="19.5" customHeight="1">
      <c r="N920" s="190"/>
    </row>
    <row r="921" ht="19.5" customHeight="1">
      <c r="N921" s="190"/>
    </row>
    <row r="922" ht="19.5" customHeight="1">
      <c r="N922" s="190"/>
    </row>
    <row r="923" ht="19.5" customHeight="1">
      <c r="N923" s="190"/>
    </row>
    <row r="924" ht="19.5" customHeight="1">
      <c r="N924" s="190"/>
    </row>
    <row r="925" ht="19.5" customHeight="1">
      <c r="N925" s="190"/>
    </row>
    <row r="926" ht="19.5" customHeight="1">
      <c r="N926" s="190"/>
    </row>
    <row r="927" ht="19.5" customHeight="1">
      <c r="N927" s="190"/>
    </row>
    <row r="928" ht="19.5" customHeight="1">
      <c r="N928" s="190"/>
    </row>
    <row r="929" ht="19.5" customHeight="1">
      <c r="N929" s="190"/>
    </row>
    <row r="930" ht="19.5" customHeight="1">
      <c r="N930" s="190"/>
    </row>
    <row r="931" ht="19.5" customHeight="1">
      <c r="N931" s="190"/>
    </row>
    <row r="932" ht="19.5" customHeight="1">
      <c r="N932" s="190"/>
    </row>
    <row r="933" ht="19.5" customHeight="1">
      <c r="N933" s="190"/>
    </row>
    <row r="934" ht="19.5" customHeight="1">
      <c r="N934" s="190"/>
    </row>
    <row r="935" ht="19.5" customHeight="1">
      <c r="N935" s="190"/>
    </row>
    <row r="936" ht="19.5" customHeight="1">
      <c r="N936" s="190"/>
    </row>
    <row r="937" ht="19.5" customHeight="1">
      <c r="N937" s="190"/>
    </row>
    <row r="938" ht="19.5" customHeight="1">
      <c r="N938" s="190"/>
    </row>
    <row r="939" ht="19.5" customHeight="1">
      <c r="N939" s="190"/>
    </row>
    <row r="940" ht="19.5" customHeight="1">
      <c r="N940" s="190"/>
    </row>
    <row r="941" ht="19.5" customHeight="1">
      <c r="N941" s="190"/>
    </row>
    <row r="942" ht="19.5" customHeight="1">
      <c r="N942" s="190"/>
    </row>
    <row r="943" ht="19.5" customHeight="1">
      <c r="N943" s="190"/>
    </row>
    <row r="944" ht="19.5" customHeight="1">
      <c r="N944" s="190"/>
    </row>
    <row r="945" ht="19.5" customHeight="1">
      <c r="N945" s="190"/>
    </row>
    <row r="946" ht="19.5" customHeight="1">
      <c r="N946" s="190"/>
    </row>
    <row r="947" ht="19.5" customHeight="1">
      <c r="N947" s="190"/>
    </row>
    <row r="948" ht="19.5" customHeight="1">
      <c r="N948" s="190"/>
    </row>
    <row r="949" ht="19.5" customHeight="1">
      <c r="N949" s="190"/>
    </row>
    <row r="950" ht="19.5" customHeight="1">
      <c r="N950" s="190"/>
    </row>
    <row r="951" ht="19.5" customHeight="1">
      <c r="N951" s="190"/>
    </row>
    <row r="952" ht="19.5" customHeight="1">
      <c r="N952" s="190"/>
    </row>
    <row r="953" ht="19.5" customHeight="1">
      <c r="N953" s="190"/>
    </row>
    <row r="954" ht="19.5" customHeight="1">
      <c r="N954" s="190"/>
    </row>
    <row r="955" ht="19.5" customHeight="1">
      <c r="N955" s="190"/>
    </row>
    <row r="956" ht="19.5" customHeight="1">
      <c r="N956" s="190"/>
    </row>
    <row r="957" ht="19.5" customHeight="1">
      <c r="N957" s="190"/>
    </row>
    <row r="958" ht="19.5" customHeight="1">
      <c r="N958" s="190"/>
    </row>
    <row r="959" ht="19.5" customHeight="1">
      <c r="N959" s="190"/>
    </row>
    <row r="960" ht="19.5" customHeight="1">
      <c r="N960" s="190"/>
    </row>
    <row r="961" ht="19.5" customHeight="1">
      <c r="N961" s="190"/>
    </row>
    <row r="962" ht="19.5" customHeight="1">
      <c r="N962" s="190"/>
    </row>
    <row r="963" ht="19.5" customHeight="1">
      <c r="N963" s="190"/>
    </row>
    <row r="964" ht="19.5" customHeight="1">
      <c r="N964" s="190"/>
    </row>
    <row r="965" ht="19.5" customHeight="1">
      <c r="N965" s="190"/>
    </row>
    <row r="966" ht="19.5" customHeight="1">
      <c r="N966" s="190"/>
    </row>
    <row r="967" ht="19.5" customHeight="1">
      <c r="N967" s="190"/>
    </row>
    <row r="968" ht="19.5" customHeight="1">
      <c r="N968" s="190"/>
    </row>
    <row r="969" ht="19.5" customHeight="1">
      <c r="N969" s="190"/>
    </row>
    <row r="970" ht="19.5" customHeight="1">
      <c r="N970" s="190"/>
    </row>
    <row r="971" ht="19.5" customHeight="1">
      <c r="N971" s="190"/>
    </row>
    <row r="972" ht="19.5" customHeight="1">
      <c r="N972" s="190"/>
    </row>
    <row r="973" ht="19.5" customHeight="1">
      <c r="N973" s="190"/>
    </row>
    <row r="974" ht="19.5" customHeight="1">
      <c r="N974" s="190"/>
    </row>
    <row r="975" ht="19.5" customHeight="1">
      <c r="N975" s="190"/>
    </row>
    <row r="976" ht="19.5" customHeight="1">
      <c r="N976" s="190"/>
    </row>
    <row r="977" ht="19.5" customHeight="1">
      <c r="N977" s="190"/>
    </row>
    <row r="978" ht="19.5" customHeight="1">
      <c r="N978" s="190"/>
    </row>
    <row r="979" ht="19.5" customHeight="1">
      <c r="N979" s="190"/>
    </row>
    <row r="980" ht="19.5" customHeight="1">
      <c r="N980" s="190"/>
    </row>
    <row r="981" ht="19.5" customHeight="1">
      <c r="N981" s="190"/>
    </row>
    <row r="982" ht="19.5" customHeight="1">
      <c r="N982" s="190"/>
    </row>
    <row r="983" ht="19.5" customHeight="1">
      <c r="N983" s="190"/>
    </row>
    <row r="984" ht="19.5" customHeight="1">
      <c r="N984" s="190"/>
    </row>
    <row r="985" ht="19.5" customHeight="1">
      <c r="N985" s="190"/>
    </row>
    <row r="986" ht="19.5" customHeight="1">
      <c r="N986" s="190"/>
    </row>
    <row r="987" ht="19.5" customHeight="1">
      <c r="N987" s="190"/>
    </row>
    <row r="988" ht="19.5" customHeight="1">
      <c r="N988" s="190"/>
    </row>
    <row r="989" ht="19.5" customHeight="1">
      <c r="N989" s="190"/>
    </row>
    <row r="990" ht="19.5" customHeight="1">
      <c r="N990" s="190"/>
    </row>
    <row r="991" ht="19.5" customHeight="1">
      <c r="N991" s="190"/>
    </row>
    <row r="992" ht="19.5" customHeight="1">
      <c r="N992" s="190"/>
    </row>
    <row r="993" ht="19.5" customHeight="1">
      <c r="N993" s="190"/>
    </row>
    <row r="994" ht="19.5" customHeight="1">
      <c r="N994" s="190"/>
    </row>
    <row r="995" ht="19.5" customHeight="1">
      <c r="N995" s="190"/>
    </row>
    <row r="996" ht="19.5" customHeight="1">
      <c r="N996" s="190"/>
    </row>
    <row r="997" ht="19.5" customHeight="1">
      <c r="N997" s="190"/>
    </row>
    <row r="998" ht="19.5" customHeight="1">
      <c r="N998" s="190"/>
    </row>
    <row r="999" ht="19.5" customHeight="1">
      <c r="N999" s="190"/>
    </row>
    <row r="1000" ht="19.5" customHeight="1">
      <c r="N1000" s="190"/>
    </row>
  </sheetData>
  <mergeCells count="18">
    <mergeCell ref="F15:H15"/>
    <mergeCell ref="F16:H16"/>
    <mergeCell ref="I24:I26"/>
    <mergeCell ref="D7:F7"/>
    <mergeCell ref="D11:F11"/>
    <mergeCell ref="C28:E28"/>
    <mergeCell ref="C27:E27"/>
    <mergeCell ref="C30:E30"/>
    <mergeCell ref="C24:E26"/>
    <mergeCell ref="G24:G26"/>
    <mergeCell ref="F24:F26"/>
    <mergeCell ref="D3:F3"/>
    <mergeCell ref="G4:G6"/>
    <mergeCell ref="K4:K6"/>
    <mergeCell ref="C4:C6"/>
    <mergeCell ref="F17:H17"/>
    <mergeCell ref="F18:H18"/>
    <mergeCell ref="F14:H14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2" t="s">
        <v>2</v>
      </c>
      <c r="N1" s="12">
        <v>1500.0</v>
      </c>
    </row>
    <row r="2" ht="19.5" customHeight="1">
      <c r="B2" s="4" t="s">
        <v>3</v>
      </c>
      <c r="C2" s="6">
        <v>1.0</v>
      </c>
      <c r="D2" s="6">
        <v>2.0</v>
      </c>
      <c r="E2" s="6">
        <v>3.0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8" t="s">
        <v>9</v>
      </c>
      <c r="M2" s="9" t="s">
        <v>10</v>
      </c>
      <c r="N2" s="30">
        <v>205.0</v>
      </c>
    </row>
    <row r="3" ht="19.5" customHeight="1">
      <c r="A3" t="s">
        <v>11</v>
      </c>
      <c r="B3" s="13">
        <v>1.0</v>
      </c>
      <c r="C3" s="15"/>
      <c r="D3" s="18">
        <f>K3-sum(G3:J3)</f>
        <v>56.82391304</v>
      </c>
      <c r="E3" s="20"/>
      <c r="F3" s="22"/>
      <c r="G3" s="213">
        <f>(N17-(N15-(N16-N13)))</f>
        <v>4</v>
      </c>
      <c r="H3" s="36">
        <f>0/64*H11</f>
        <v>0</v>
      </c>
      <c r="I3" s="36">
        <f>3/20*I11</f>
        <v>2.85</v>
      </c>
      <c r="J3" s="39">
        <f>7/46*J11</f>
        <v>5.326086957</v>
      </c>
      <c r="K3" s="26">
        <f>(N14-N12)+(N17-(N15-(N16-N13)))</f>
        <v>69</v>
      </c>
      <c r="M3" s="9" t="s">
        <v>16</v>
      </c>
      <c r="N3" s="30">
        <v>135.0</v>
      </c>
    </row>
    <row r="4" ht="19.5" customHeight="1">
      <c r="B4" s="13">
        <v>2.0</v>
      </c>
      <c r="C4" s="43">
        <f>C11-sum(C7:C10)</f>
        <v>16.20822511</v>
      </c>
      <c r="D4" s="45"/>
      <c r="E4" s="45"/>
      <c r="F4" s="47"/>
      <c r="G4" s="49">
        <f>G11-G3-sum(G8:G10)</f>
        <v>127.3701299</v>
      </c>
      <c r="H4" s="36">
        <f>11/64*H11</f>
        <v>3.953125</v>
      </c>
      <c r="I4" s="36">
        <f>4/20*I11</f>
        <v>3.8</v>
      </c>
      <c r="J4" s="39">
        <f>18/46*J11</f>
        <v>13.69565217</v>
      </c>
      <c r="K4" s="52">
        <f>sum(C4:J6)</f>
        <v>183.1718332</v>
      </c>
      <c r="M4" s="9" t="s">
        <v>17</v>
      </c>
      <c r="N4" s="30">
        <v>63.0</v>
      </c>
    </row>
    <row r="5" ht="19.5" customHeight="1">
      <c r="B5" s="13">
        <v>3.0</v>
      </c>
      <c r="C5" s="54"/>
      <c r="D5" s="55"/>
      <c r="E5" s="55">
        <v>0.0</v>
      </c>
      <c r="F5" s="55"/>
      <c r="G5" s="54"/>
      <c r="H5" s="36">
        <f>5/64*H11</f>
        <v>1.796875</v>
      </c>
      <c r="I5" s="36">
        <f>7/20*I11</f>
        <v>6.65</v>
      </c>
      <c r="J5" s="39">
        <f>4/46*J11</f>
        <v>3.043478261</v>
      </c>
      <c r="K5" s="54"/>
      <c r="M5" s="9" t="s">
        <v>18</v>
      </c>
      <c r="N5" s="30">
        <v>89.0</v>
      </c>
    </row>
    <row r="6" ht="19.5" customHeight="1">
      <c r="B6" s="13" t="s">
        <v>4</v>
      </c>
      <c r="C6" s="22"/>
      <c r="D6" s="47"/>
      <c r="E6" s="45"/>
      <c r="F6" s="45"/>
      <c r="G6" s="22"/>
      <c r="H6" s="36">
        <f>0/64*H11</f>
        <v>0</v>
      </c>
      <c r="I6" s="36">
        <f>3/20*I11</f>
        <v>2.85</v>
      </c>
      <c r="J6" s="39">
        <f>5/46*J11</f>
        <v>3.804347826</v>
      </c>
      <c r="K6" s="22"/>
      <c r="M6" s="9" t="s">
        <v>19</v>
      </c>
      <c r="N6" s="30">
        <v>39.0</v>
      </c>
    </row>
    <row r="7" ht="19.5" customHeight="1">
      <c r="B7" s="13" t="s">
        <v>5</v>
      </c>
      <c r="C7" s="60">
        <f>N13</f>
        <v>36</v>
      </c>
      <c r="D7" s="18">
        <f>K7-C7-sum(H7:J7)</f>
        <v>166.9630435</v>
      </c>
      <c r="E7" s="20"/>
      <c r="F7" s="22"/>
      <c r="G7" s="15"/>
      <c r="H7" s="36">
        <f>0/64*H11</f>
        <v>0</v>
      </c>
      <c r="I7" s="36">
        <f>1/20*I11</f>
        <v>0.95</v>
      </c>
      <c r="J7" s="39">
        <f>8/46*J11</f>
        <v>6.086956522</v>
      </c>
      <c r="K7" s="60">
        <f>N12+N13</f>
        <v>210</v>
      </c>
      <c r="M7" s="9" t="s">
        <v>20</v>
      </c>
      <c r="N7" s="30">
        <v>54.0</v>
      </c>
    </row>
    <row r="8" ht="19.5" customHeight="1">
      <c r="B8" s="13" t="s">
        <v>6</v>
      </c>
      <c r="C8" s="36">
        <f>1/21*K8</f>
        <v>0.619047619</v>
      </c>
      <c r="D8" s="36">
        <f>4/21*K8</f>
        <v>2.476190476</v>
      </c>
      <c r="E8" s="36">
        <f>7/21*K8</f>
        <v>4.333333333</v>
      </c>
      <c r="F8" s="36">
        <f>3/21*K8</f>
        <v>1.857142857</v>
      </c>
      <c r="G8" s="36">
        <f>3/21*K8</f>
        <v>1.857142857</v>
      </c>
      <c r="H8" s="15"/>
      <c r="I8" s="36">
        <f>1/21*K8</f>
        <v>0.619047619</v>
      </c>
      <c r="J8" s="39">
        <f>2/21*K8</f>
        <v>1.238095238</v>
      </c>
      <c r="K8" s="66">
        <f>N8</f>
        <v>13</v>
      </c>
      <c r="M8" s="68" t="s">
        <v>21</v>
      </c>
      <c r="N8" s="30">
        <v>13.0</v>
      </c>
    </row>
    <row r="9" ht="19.5" customHeight="1">
      <c r="B9" s="13" t="s">
        <v>7</v>
      </c>
      <c r="C9" s="36">
        <f>0/20*K9</f>
        <v>0</v>
      </c>
      <c r="D9" s="36">
        <f>2/20*K9</f>
        <v>2.5</v>
      </c>
      <c r="E9" s="36">
        <f>1/20*K9</f>
        <v>1.25</v>
      </c>
      <c r="F9" s="36">
        <f>3/20*K9</f>
        <v>3.75</v>
      </c>
      <c r="G9" s="36">
        <f>8/20*K9</f>
        <v>10</v>
      </c>
      <c r="H9" s="36">
        <f>4/20*K9</f>
        <v>5</v>
      </c>
      <c r="I9" s="72"/>
      <c r="J9" s="39">
        <f>2/20*K9</f>
        <v>2.5</v>
      </c>
      <c r="K9" s="66">
        <f>N10</f>
        <v>25</v>
      </c>
      <c r="M9" s="68" t="s">
        <v>23</v>
      </c>
      <c r="N9" s="30">
        <v>23.0</v>
      </c>
    </row>
    <row r="10" ht="19.5" customHeight="1">
      <c r="B10" s="13" t="s">
        <v>8</v>
      </c>
      <c r="C10" s="74">
        <f>1/110*K10</f>
        <v>0.1727272727</v>
      </c>
      <c r="D10" s="74">
        <f>17/110*K10</f>
        <v>2.936363636</v>
      </c>
      <c r="E10" s="74">
        <f>0/110*K10</f>
        <v>0</v>
      </c>
      <c r="F10" s="74">
        <f>2/110*K10</f>
        <v>0.3454545455</v>
      </c>
      <c r="G10" s="74">
        <f>45/110*K10</f>
        <v>7.772727273</v>
      </c>
      <c r="H10" s="74">
        <f>44/110*K10</f>
        <v>7.6</v>
      </c>
      <c r="I10" s="74">
        <f>1/110*K10</f>
        <v>0.1727272727</v>
      </c>
      <c r="J10" s="78"/>
      <c r="K10" s="66">
        <f>N18</f>
        <v>19</v>
      </c>
      <c r="M10" s="68" t="s">
        <v>25</v>
      </c>
      <c r="N10" s="67">
        <v>25.0</v>
      </c>
    </row>
    <row r="11" ht="19.5" customHeight="1">
      <c r="B11" s="79" t="s">
        <v>9</v>
      </c>
      <c r="C11" s="60">
        <f>N16</f>
        <v>53</v>
      </c>
      <c r="D11" s="81">
        <f>sum(D3:F10)</f>
        <v>243.2354414</v>
      </c>
      <c r="E11" s="20"/>
      <c r="F11" s="22"/>
      <c r="G11" s="60">
        <f>N17</f>
        <v>151</v>
      </c>
      <c r="H11" s="66">
        <f>N9</f>
        <v>23</v>
      </c>
      <c r="I11" s="66">
        <f>N11</f>
        <v>19</v>
      </c>
      <c r="J11" s="66">
        <f>N19</f>
        <v>35</v>
      </c>
      <c r="K11" s="83">
        <f>D14</f>
        <v>519.1718332</v>
      </c>
      <c r="M11" s="68" t="s">
        <v>26</v>
      </c>
      <c r="N11" s="73">
        <v>19.0</v>
      </c>
    </row>
    <row r="12" ht="19.5" customHeight="1">
      <c r="M12" s="9" t="s">
        <v>27</v>
      </c>
      <c r="N12" s="30">
        <v>174.0</v>
      </c>
    </row>
    <row r="13" ht="19.5" customHeight="1">
      <c r="I13" s="86"/>
      <c r="J13" s="86"/>
      <c r="M13" s="9" t="s">
        <v>28</v>
      </c>
      <c r="N13" s="30">
        <v>36.0</v>
      </c>
    </row>
    <row r="14" ht="19.5" customHeight="1">
      <c r="B14" s="87" t="s">
        <v>34</v>
      </c>
      <c r="C14" s="88"/>
      <c r="D14" s="90">
        <f>sum(K3:K10)</f>
        <v>519.1718332</v>
      </c>
      <c r="F14" s="57" t="s">
        <v>37</v>
      </c>
      <c r="G14" s="88"/>
      <c r="H14" s="88"/>
      <c r="I14" s="93">
        <f>sum(C3:F6)/D14</f>
        <v>0.1406704553</v>
      </c>
      <c r="J14" s="214">
        <f t="shared" ref="J14:J19" si="1">$D$14*I14</f>
        <v>73.03213815</v>
      </c>
      <c r="M14" s="9" t="s">
        <v>29</v>
      </c>
      <c r="N14" s="30">
        <v>239.0</v>
      </c>
    </row>
    <row r="15" ht="19.5" customHeight="1">
      <c r="B15" s="95"/>
      <c r="C15" s="20"/>
      <c r="D15" s="97"/>
      <c r="F15" s="9" t="s">
        <v>39</v>
      </c>
      <c r="I15" s="99">
        <f>sum(G7:J10)/D14</f>
        <v>0.08435876906</v>
      </c>
      <c r="J15" s="214">
        <f t="shared" si="1"/>
        <v>43.79669678</v>
      </c>
      <c r="M15" s="9" t="s">
        <v>30</v>
      </c>
      <c r="N15" s="30">
        <v>164.0</v>
      </c>
    </row>
    <row r="16" ht="19.5" customHeight="1">
      <c r="B16" s="9" t="s">
        <v>40</v>
      </c>
      <c r="D16" s="101">
        <f>(N12+N13+N15-N16)/(N12+N13+N15)</f>
        <v>0.8582887701</v>
      </c>
      <c r="E16" s="102"/>
      <c r="F16" s="103" t="s">
        <v>41</v>
      </c>
      <c r="G16" s="105"/>
      <c r="H16" s="105"/>
      <c r="I16" s="107">
        <f>I14+I15</f>
        <v>0.2250292243</v>
      </c>
      <c r="J16" s="214">
        <f t="shared" si="1"/>
        <v>116.8288349</v>
      </c>
      <c r="M16" s="9" t="s">
        <v>31</v>
      </c>
      <c r="N16" s="30">
        <v>53.0</v>
      </c>
    </row>
    <row r="17" ht="19.5" customHeight="1">
      <c r="B17" s="9" t="s">
        <v>42</v>
      </c>
      <c r="D17" s="101"/>
      <c r="F17" s="9" t="s">
        <v>43</v>
      </c>
      <c r="I17" s="99">
        <f>sum(C7:F10)/D14</f>
        <v>0.4299218273</v>
      </c>
      <c r="J17" s="214">
        <f t="shared" si="1"/>
        <v>223.2033032</v>
      </c>
      <c r="M17" s="9" t="s">
        <v>32</v>
      </c>
      <c r="N17" s="30">
        <v>151.0</v>
      </c>
    </row>
    <row r="18" ht="19.5" customHeight="1">
      <c r="B18" s="109" t="s">
        <v>45</v>
      </c>
      <c r="C18" s="20"/>
      <c r="D18" s="110"/>
      <c r="F18" s="9" t="s">
        <v>46</v>
      </c>
      <c r="I18" s="99">
        <f>sum(G3:J6)/D14</f>
        <v>0.3450489484</v>
      </c>
      <c r="J18" s="214">
        <f t="shared" si="1"/>
        <v>179.1396951</v>
      </c>
      <c r="M18" s="112" t="s">
        <v>33</v>
      </c>
      <c r="N18" s="30">
        <v>19.0</v>
      </c>
    </row>
    <row r="19" ht="19.5" customHeight="1">
      <c r="B19" s="109" t="s">
        <v>47</v>
      </c>
      <c r="C19" s="117"/>
      <c r="D19" s="215"/>
      <c r="F19" s="103" t="s">
        <v>48</v>
      </c>
      <c r="G19" s="121"/>
      <c r="H19" s="105"/>
      <c r="I19" s="107">
        <f>I17+I18</f>
        <v>0.7749707757</v>
      </c>
      <c r="J19" s="216">
        <f t="shared" si="1"/>
        <v>402.3429983</v>
      </c>
      <c r="K19">
        <f>(sum(G24:G27)+sum(C28:F28))/J19</f>
        <v>0.8309655561</v>
      </c>
      <c r="M19" s="112" t="s">
        <v>35</v>
      </c>
      <c r="N19" s="30">
        <v>35.0</v>
      </c>
    </row>
    <row r="20" ht="19.5" customHeight="1">
      <c r="F20" s="109" t="s">
        <v>50</v>
      </c>
      <c r="G20" s="117"/>
      <c r="H20" s="20"/>
      <c r="I20" s="127">
        <f>D14*(I17-I18)</f>
        <v>44.06360813</v>
      </c>
      <c r="J20" s="97"/>
      <c r="M20" s="9" t="s">
        <v>36</v>
      </c>
      <c r="N20" s="30">
        <v>120.0</v>
      </c>
    </row>
    <row r="21" ht="19.5" customHeight="1">
      <c r="M21" s="9" t="s">
        <v>38</v>
      </c>
      <c r="N21" s="104">
        <v>60.0</v>
      </c>
    </row>
    <row r="22" ht="19.5" customHeight="1">
      <c r="B22" s="129"/>
      <c r="C22" s="129"/>
      <c r="D22" s="92"/>
      <c r="M22" s="109" t="s">
        <v>44</v>
      </c>
      <c r="N22" s="217"/>
    </row>
    <row r="23" ht="19.5" customHeight="1">
      <c r="B23" s="133">
        <v>1500.0</v>
      </c>
      <c r="C23" s="134">
        <v>2.0</v>
      </c>
      <c r="D23" s="134">
        <v>3.0</v>
      </c>
      <c r="E23" s="136" t="s">
        <v>4</v>
      </c>
      <c r="F23" s="136">
        <v>1.0</v>
      </c>
      <c r="G23" s="136" t="s">
        <v>5</v>
      </c>
      <c r="H23" s="136" t="s">
        <v>53</v>
      </c>
      <c r="I23" s="137" t="s">
        <v>9</v>
      </c>
      <c r="N23" s="138"/>
    </row>
    <row r="24" ht="19.5" customHeight="1">
      <c r="B24" s="140">
        <v>2.0</v>
      </c>
      <c r="C24" s="142">
        <v>0.0</v>
      </c>
      <c r="D24" s="29"/>
      <c r="E24" s="31"/>
      <c r="F24" s="144">
        <f t="shared" ref="F24:G24" si="2">F30-sum(F27:F29)</f>
        <v>16.20822511</v>
      </c>
      <c r="G24" s="144">
        <f t="shared" si="2"/>
        <v>127.3701299</v>
      </c>
      <c r="H24" s="148">
        <f t="shared" ref="H24:H26" si="3">sum(H4:J4)</f>
        <v>21.44877717</v>
      </c>
      <c r="I24" s="150">
        <f>sum(C24:H26)</f>
        <v>183.1718332</v>
      </c>
      <c r="M24" s="152" t="s">
        <v>54</v>
      </c>
      <c r="N24" s="218">
        <f>N2+N3</f>
        <v>340</v>
      </c>
    </row>
    <row r="25" ht="19.5" customHeight="1">
      <c r="B25" s="140">
        <v>3.0</v>
      </c>
      <c r="C25" s="64"/>
      <c r="E25" s="54"/>
      <c r="F25" s="157"/>
      <c r="G25" s="157"/>
      <c r="H25" s="159">
        <f t="shared" si="3"/>
        <v>11.49035326</v>
      </c>
      <c r="I25" s="54"/>
      <c r="M25" s="161" t="s">
        <v>55</v>
      </c>
      <c r="N25" s="85">
        <f>N4+N5</f>
        <v>152</v>
      </c>
    </row>
    <row r="26" ht="19.5" customHeight="1">
      <c r="B26" s="140" t="s">
        <v>4</v>
      </c>
      <c r="C26" s="65"/>
      <c r="D26" s="20"/>
      <c r="E26" s="22"/>
      <c r="F26" s="165"/>
      <c r="G26" s="165"/>
      <c r="H26" s="159">
        <f t="shared" si="3"/>
        <v>6.654347826</v>
      </c>
      <c r="I26" s="22"/>
      <c r="M26" s="161" t="s">
        <v>56</v>
      </c>
      <c r="N26" s="85">
        <f>N6+N7</f>
        <v>93</v>
      </c>
    </row>
    <row r="27" ht="19.5" customHeight="1">
      <c r="B27" s="166">
        <v>1.0</v>
      </c>
      <c r="C27" s="169">
        <f>I27-sum(G27:H27)</f>
        <v>56.82391304</v>
      </c>
      <c r="D27" s="105"/>
      <c r="E27" s="172"/>
      <c r="F27" s="174"/>
      <c r="G27" s="176">
        <f>(N17-(N15-(N16-N13)))</f>
        <v>4</v>
      </c>
      <c r="H27" s="159">
        <f>sum(H3:J3)</f>
        <v>8.176086957</v>
      </c>
      <c r="I27" s="177">
        <f>(N14-N12)+(N17-(N15-(N16-N13)))</f>
        <v>69</v>
      </c>
      <c r="M27" s="161" t="s">
        <v>57</v>
      </c>
      <c r="N27" s="85">
        <f>N8+N9</f>
        <v>36</v>
      </c>
    </row>
    <row r="28" ht="19.5" customHeight="1">
      <c r="B28" s="166" t="s">
        <v>5</v>
      </c>
      <c r="C28" s="169">
        <f>I28-sum(F28:H28)</f>
        <v>166.9630435</v>
      </c>
      <c r="D28" s="105"/>
      <c r="E28" s="172"/>
      <c r="F28" s="176">
        <f>N13</f>
        <v>36</v>
      </c>
      <c r="G28" s="174"/>
      <c r="H28" s="159">
        <f>sum(H7:J7)</f>
        <v>7.036956522</v>
      </c>
      <c r="I28" s="177">
        <f>N12+N13</f>
        <v>210</v>
      </c>
      <c r="M28" s="161" t="s">
        <v>58</v>
      </c>
      <c r="N28" s="85">
        <f>N10+N11</f>
        <v>44</v>
      </c>
    </row>
    <row r="29" ht="19.5" customHeight="1">
      <c r="B29" s="166" t="s">
        <v>53</v>
      </c>
      <c r="C29" s="179">
        <f t="shared" ref="C29:E29" si="4">sum(D8:D10)</f>
        <v>7.912554113</v>
      </c>
      <c r="D29" s="180">
        <f t="shared" si="4"/>
        <v>5.583333333</v>
      </c>
      <c r="E29" s="180">
        <f t="shared" si="4"/>
        <v>5.952597403</v>
      </c>
      <c r="F29" s="180">
        <f>sum(C8:C10)</f>
        <v>0.7917748918</v>
      </c>
      <c r="G29" s="180">
        <f>sum(G8:G10)</f>
        <v>19.62987013</v>
      </c>
      <c r="H29" s="181">
        <f>sum(H8:J10)</f>
        <v>17.12987013</v>
      </c>
      <c r="I29" s="182">
        <f>sum(C29:H29)</f>
        <v>57</v>
      </c>
      <c r="M29" s="161" t="s">
        <v>59</v>
      </c>
      <c r="N29" s="85">
        <f>N18+N19</f>
        <v>54</v>
      </c>
    </row>
    <row r="30" ht="19.5" customHeight="1">
      <c r="B30" s="137" t="s">
        <v>9</v>
      </c>
      <c r="C30" s="183">
        <f>sum(C24:E29)</f>
        <v>243.2354414</v>
      </c>
      <c r="D30" s="20"/>
      <c r="E30" s="22"/>
      <c r="F30" s="97">
        <f>N16</f>
        <v>53</v>
      </c>
      <c r="G30" s="97">
        <f>N17</f>
        <v>151</v>
      </c>
      <c r="H30" s="127">
        <f>sum(H24:H29)</f>
        <v>71.93639187</v>
      </c>
      <c r="I30" s="184"/>
      <c r="M30" s="161" t="s">
        <v>60</v>
      </c>
      <c r="N30" s="85">
        <f>N14+N15</f>
        <v>403</v>
      </c>
    </row>
    <row r="31" ht="19.5" customHeight="1">
      <c r="M31" s="161" t="s">
        <v>61</v>
      </c>
      <c r="N31" s="85">
        <f>N12+N13+N17</f>
        <v>361</v>
      </c>
    </row>
    <row r="32" ht="19.5" customHeight="1">
      <c r="M32" s="185" t="s">
        <v>62</v>
      </c>
      <c r="N32" s="219">
        <f>N20+N21</f>
        <v>180</v>
      </c>
    </row>
    <row r="33" ht="19.5" customHeight="1">
      <c r="N33" s="138"/>
    </row>
    <row r="34" ht="19.5" customHeight="1">
      <c r="N34" s="138"/>
    </row>
    <row r="35" ht="19.5" customHeight="1">
      <c r="N35" s="138"/>
    </row>
    <row r="36" ht="19.5" customHeight="1">
      <c r="N36" s="138"/>
    </row>
    <row r="37" ht="19.5" customHeight="1">
      <c r="N37" s="138"/>
    </row>
    <row r="38" ht="19.5" customHeight="1">
      <c r="N38" s="138"/>
    </row>
    <row r="39" ht="19.5" customHeight="1">
      <c r="N39" s="138"/>
    </row>
    <row r="40" ht="19.5" customHeight="1">
      <c r="N40" s="138"/>
    </row>
    <row r="41" ht="19.5" customHeight="1">
      <c r="N41" s="138"/>
    </row>
    <row r="42" ht="19.5" customHeight="1">
      <c r="N42" s="138"/>
    </row>
    <row r="43" ht="19.5" customHeight="1">
      <c r="N43" s="138"/>
    </row>
    <row r="44" ht="19.5" customHeight="1">
      <c r="N44" s="138"/>
    </row>
    <row r="45" ht="19.5" customHeight="1">
      <c r="N45" s="138"/>
    </row>
    <row r="46" ht="19.5" customHeight="1">
      <c r="N46" s="138"/>
    </row>
    <row r="47" ht="19.5" customHeight="1">
      <c r="N47" s="138"/>
    </row>
    <row r="48" ht="19.5" customHeight="1">
      <c r="N48" s="138"/>
    </row>
    <row r="49" ht="19.5" customHeight="1">
      <c r="N49" s="190"/>
    </row>
    <row r="50" ht="19.5" customHeight="1">
      <c r="N50" s="190"/>
    </row>
    <row r="51" ht="19.5" customHeight="1">
      <c r="N51" s="190"/>
    </row>
    <row r="52" ht="19.5" customHeight="1">
      <c r="N52" s="190"/>
    </row>
    <row r="53" ht="19.5" customHeight="1">
      <c r="N53" s="190"/>
    </row>
    <row r="54" ht="19.5" customHeight="1">
      <c r="N54" s="190"/>
    </row>
    <row r="55" ht="19.5" customHeight="1">
      <c r="N55" s="190"/>
    </row>
    <row r="56" ht="19.5" customHeight="1">
      <c r="N56" s="190"/>
    </row>
    <row r="57" ht="19.5" customHeight="1">
      <c r="N57" s="190"/>
    </row>
    <row r="58" ht="19.5" customHeight="1">
      <c r="N58" s="190"/>
    </row>
    <row r="59" ht="19.5" customHeight="1">
      <c r="N59" s="190"/>
    </row>
    <row r="60" ht="19.5" customHeight="1">
      <c r="N60" s="190"/>
    </row>
    <row r="61" ht="19.5" customHeight="1">
      <c r="N61" s="190"/>
    </row>
    <row r="62" ht="19.5" customHeight="1">
      <c r="N62" s="190"/>
    </row>
    <row r="63" ht="19.5" customHeight="1">
      <c r="N63" s="190"/>
    </row>
    <row r="64" ht="19.5" customHeight="1">
      <c r="N64" s="190"/>
    </row>
    <row r="65" ht="19.5" customHeight="1">
      <c r="N65" s="190"/>
    </row>
    <row r="66" ht="19.5" customHeight="1">
      <c r="N66" s="190"/>
    </row>
    <row r="67" ht="19.5" customHeight="1">
      <c r="N67" s="190"/>
    </row>
    <row r="68" ht="19.5" customHeight="1">
      <c r="N68" s="190"/>
    </row>
    <row r="69" ht="19.5" customHeight="1">
      <c r="N69" s="190"/>
    </row>
    <row r="70" ht="19.5" customHeight="1">
      <c r="N70" s="190"/>
    </row>
    <row r="71" ht="19.5" customHeight="1">
      <c r="N71" s="190"/>
    </row>
    <row r="72" ht="19.5" customHeight="1">
      <c r="N72" s="190"/>
    </row>
    <row r="73" ht="19.5" customHeight="1">
      <c r="N73" s="190"/>
    </row>
    <row r="74" ht="19.5" customHeight="1">
      <c r="N74" s="190"/>
    </row>
    <row r="75" ht="19.5" customHeight="1">
      <c r="N75" s="190"/>
    </row>
    <row r="76" ht="19.5" customHeight="1">
      <c r="N76" s="190"/>
    </row>
    <row r="77" ht="19.5" customHeight="1">
      <c r="N77" s="190"/>
    </row>
    <row r="78" ht="19.5" customHeight="1">
      <c r="N78" s="190"/>
    </row>
    <row r="79" ht="19.5" customHeight="1">
      <c r="N79" s="190"/>
    </row>
    <row r="80" ht="19.5" customHeight="1">
      <c r="N80" s="190"/>
    </row>
    <row r="81" ht="19.5" customHeight="1">
      <c r="N81" s="190"/>
    </row>
    <row r="82" ht="19.5" customHeight="1">
      <c r="N82" s="190"/>
    </row>
    <row r="83" ht="19.5" customHeight="1">
      <c r="N83" s="190"/>
    </row>
    <row r="84" ht="19.5" customHeight="1">
      <c r="N84" s="190"/>
    </row>
    <row r="85" ht="19.5" customHeight="1">
      <c r="N85" s="190"/>
    </row>
    <row r="86" ht="19.5" customHeight="1">
      <c r="N86" s="190"/>
    </row>
    <row r="87" ht="19.5" customHeight="1">
      <c r="N87" s="190"/>
    </row>
    <row r="88" ht="19.5" customHeight="1">
      <c r="N88" s="190"/>
    </row>
    <row r="89" ht="19.5" customHeight="1">
      <c r="N89" s="190"/>
    </row>
    <row r="90" ht="19.5" customHeight="1">
      <c r="N90" s="190"/>
    </row>
    <row r="91" ht="19.5" customHeight="1">
      <c r="N91" s="190"/>
    </row>
    <row r="92" ht="19.5" customHeight="1">
      <c r="N92" s="190"/>
    </row>
    <row r="93" ht="19.5" customHeight="1">
      <c r="N93" s="190"/>
    </row>
    <row r="94" ht="19.5" customHeight="1">
      <c r="N94" s="190"/>
    </row>
    <row r="95" ht="19.5" customHeight="1">
      <c r="N95" s="190"/>
    </row>
    <row r="96" ht="19.5" customHeight="1">
      <c r="N96" s="190"/>
    </row>
    <row r="97" ht="19.5" customHeight="1">
      <c r="N97" s="190"/>
    </row>
    <row r="98" ht="19.5" customHeight="1">
      <c r="N98" s="190"/>
    </row>
    <row r="99" ht="19.5" customHeight="1">
      <c r="N99" s="190"/>
    </row>
    <row r="100" ht="19.5" customHeight="1">
      <c r="N100" s="190"/>
    </row>
    <row r="101" ht="19.5" customHeight="1">
      <c r="N101" s="190"/>
    </row>
    <row r="102" ht="19.5" customHeight="1">
      <c r="N102" s="190"/>
    </row>
    <row r="103" ht="19.5" customHeight="1">
      <c r="N103" s="190"/>
    </row>
    <row r="104" ht="19.5" customHeight="1">
      <c r="N104" s="190"/>
    </row>
    <row r="105" ht="19.5" customHeight="1">
      <c r="N105" s="190"/>
    </row>
    <row r="106" ht="19.5" customHeight="1">
      <c r="N106" s="190"/>
    </row>
    <row r="107" ht="19.5" customHeight="1">
      <c r="N107" s="190"/>
    </row>
    <row r="108" ht="19.5" customHeight="1">
      <c r="N108" s="190"/>
    </row>
    <row r="109" ht="19.5" customHeight="1">
      <c r="N109" s="190"/>
    </row>
    <row r="110" ht="19.5" customHeight="1">
      <c r="N110" s="190"/>
    </row>
    <row r="111" ht="19.5" customHeight="1">
      <c r="N111" s="190"/>
    </row>
    <row r="112" ht="19.5" customHeight="1">
      <c r="N112" s="190"/>
    </row>
    <row r="113" ht="19.5" customHeight="1">
      <c r="N113" s="190"/>
    </row>
    <row r="114" ht="19.5" customHeight="1">
      <c r="N114" s="190"/>
    </row>
    <row r="115" ht="19.5" customHeight="1">
      <c r="N115" s="190"/>
    </row>
    <row r="116" ht="19.5" customHeight="1">
      <c r="N116" s="190"/>
    </row>
    <row r="117" ht="19.5" customHeight="1">
      <c r="N117" s="190"/>
    </row>
    <row r="118" ht="19.5" customHeight="1">
      <c r="N118" s="190"/>
    </row>
    <row r="119" ht="19.5" customHeight="1">
      <c r="N119" s="190"/>
    </row>
    <row r="120" ht="19.5" customHeight="1">
      <c r="N120" s="190"/>
    </row>
    <row r="121" ht="19.5" customHeight="1">
      <c r="N121" s="190"/>
    </row>
    <row r="122" ht="19.5" customHeight="1">
      <c r="N122" s="190"/>
    </row>
    <row r="123" ht="19.5" customHeight="1">
      <c r="N123" s="190"/>
    </row>
    <row r="124" ht="19.5" customHeight="1">
      <c r="N124" s="190"/>
    </row>
    <row r="125" ht="19.5" customHeight="1">
      <c r="N125" s="190"/>
    </row>
    <row r="126" ht="19.5" customHeight="1">
      <c r="N126" s="190"/>
    </row>
    <row r="127" ht="19.5" customHeight="1">
      <c r="N127" s="190"/>
    </row>
    <row r="128" ht="19.5" customHeight="1">
      <c r="N128" s="190"/>
    </row>
    <row r="129" ht="19.5" customHeight="1">
      <c r="N129" s="190"/>
    </row>
    <row r="130" ht="19.5" customHeight="1">
      <c r="N130" s="190"/>
    </row>
    <row r="131" ht="19.5" customHeight="1">
      <c r="N131" s="190"/>
    </row>
    <row r="132" ht="19.5" customHeight="1">
      <c r="N132" s="190"/>
    </row>
    <row r="133" ht="19.5" customHeight="1">
      <c r="N133" s="190"/>
    </row>
    <row r="134" ht="19.5" customHeight="1">
      <c r="N134" s="190"/>
    </row>
    <row r="135" ht="19.5" customHeight="1">
      <c r="N135" s="190"/>
    </row>
    <row r="136" ht="19.5" customHeight="1">
      <c r="N136" s="190"/>
    </row>
    <row r="137" ht="19.5" customHeight="1">
      <c r="N137" s="190"/>
    </row>
    <row r="138" ht="19.5" customHeight="1">
      <c r="N138" s="190"/>
    </row>
    <row r="139" ht="19.5" customHeight="1">
      <c r="N139" s="190"/>
    </row>
    <row r="140" ht="19.5" customHeight="1">
      <c r="N140" s="190"/>
    </row>
    <row r="141" ht="19.5" customHeight="1">
      <c r="N141" s="190"/>
    </row>
    <row r="142" ht="19.5" customHeight="1">
      <c r="N142" s="190"/>
    </row>
    <row r="143" ht="19.5" customHeight="1">
      <c r="N143" s="190"/>
    </row>
    <row r="144" ht="19.5" customHeight="1">
      <c r="N144" s="190"/>
    </row>
    <row r="145" ht="19.5" customHeight="1">
      <c r="N145" s="190"/>
    </row>
    <row r="146" ht="19.5" customHeight="1">
      <c r="N146" s="190"/>
    </row>
    <row r="147" ht="19.5" customHeight="1">
      <c r="N147" s="190"/>
    </row>
    <row r="148" ht="19.5" customHeight="1">
      <c r="N148" s="190"/>
    </row>
    <row r="149" ht="19.5" customHeight="1">
      <c r="N149" s="190"/>
    </row>
    <row r="150" ht="19.5" customHeight="1">
      <c r="N150" s="190"/>
    </row>
    <row r="151" ht="19.5" customHeight="1">
      <c r="N151" s="190"/>
    </row>
    <row r="152" ht="19.5" customHeight="1">
      <c r="N152" s="190"/>
    </row>
    <row r="153" ht="19.5" customHeight="1">
      <c r="N153" s="190"/>
    </row>
    <row r="154" ht="19.5" customHeight="1">
      <c r="N154" s="190"/>
    </row>
    <row r="155" ht="19.5" customHeight="1">
      <c r="N155" s="190"/>
    </row>
    <row r="156" ht="19.5" customHeight="1">
      <c r="N156" s="190"/>
    </row>
    <row r="157" ht="19.5" customHeight="1">
      <c r="N157" s="190"/>
    </row>
    <row r="158" ht="19.5" customHeight="1">
      <c r="N158" s="190"/>
    </row>
    <row r="159" ht="19.5" customHeight="1">
      <c r="N159" s="190"/>
    </row>
    <row r="160" ht="19.5" customHeight="1">
      <c r="N160" s="190"/>
    </row>
    <row r="161" ht="19.5" customHeight="1">
      <c r="N161" s="190"/>
    </row>
    <row r="162" ht="19.5" customHeight="1">
      <c r="N162" s="190"/>
    </row>
    <row r="163" ht="19.5" customHeight="1">
      <c r="N163" s="190"/>
    </row>
    <row r="164" ht="19.5" customHeight="1">
      <c r="N164" s="190"/>
    </row>
    <row r="165" ht="19.5" customHeight="1">
      <c r="N165" s="190"/>
    </row>
    <row r="166" ht="19.5" customHeight="1">
      <c r="N166" s="190"/>
    </row>
    <row r="167" ht="19.5" customHeight="1">
      <c r="N167" s="190"/>
    </row>
    <row r="168" ht="19.5" customHeight="1">
      <c r="N168" s="190"/>
    </row>
    <row r="169" ht="19.5" customHeight="1">
      <c r="N169" s="190"/>
    </row>
    <row r="170" ht="19.5" customHeight="1">
      <c r="N170" s="190"/>
    </row>
    <row r="171" ht="19.5" customHeight="1">
      <c r="N171" s="190"/>
    </row>
    <row r="172" ht="19.5" customHeight="1">
      <c r="N172" s="190"/>
    </row>
    <row r="173" ht="19.5" customHeight="1">
      <c r="N173" s="190"/>
    </row>
    <row r="174" ht="19.5" customHeight="1">
      <c r="N174" s="190"/>
    </row>
    <row r="175" ht="19.5" customHeight="1">
      <c r="N175" s="190"/>
    </row>
    <row r="176" ht="19.5" customHeight="1">
      <c r="N176" s="190"/>
    </row>
    <row r="177" ht="19.5" customHeight="1">
      <c r="N177" s="190"/>
    </row>
    <row r="178" ht="19.5" customHeight="1">
      <c r="N178" s="190"/>
    </row>
    <row r="179" ht="19.5" customHeight="1">
      <c r="N179" s="190"/>
    </row>
    <row r="180" ht="19.5" customHeight="1">
      <c r="N180" s="190"/>
    </row>
    <row r="181" ht="19.5" customHeight="1">
      <c r="N181" s="190"/>
    </row>
    <row r="182" ht="19.5" customHeight="1">
      <c r="N182" s="190"/>
    </row>
    <row r="183" ht="19.5" customHeight="1">
      <c r="N183" s="190"/>
    </row>
    <row r="184" ht="19.5" customHeight="1">
      <c r="N184" s="190"/>
    </row>
    <row r="185" ht="19.5" customHeight="1">
      <c r="N185" s="190"/>
    </row>
    <row r="186" ht="19.5" customHeight="1">
      <c r="N186" s="190"/>
    </row>
    <row r="187" ht="19.5" customHeight="1">
      <c r="N187" s="190"/>
    </row>
    <row r="188" ht="19.5" customHeight="1">
      <c r="N188" s="190"/>
    </row>
    <row r="189" ht="19.5" customHeight="1">
      <c r="N189" s="190"/>
    </row>
    <row r="190" ht="19.5" customHeight="1">
      <c r="N190" s="190"/>
    </row>
    <row r="191" ht="19.5" customHeight="1">
      <c r="N191" s="190"/>
    </row>
    <row r="192" ht="19.5" customHeight="1">
      <c r="N192" s="190"/>
    </row>
    <row r="193" ht="19.5" customHeight="1">
      <c r="N193" s="190"/>
    </row>
    <row r="194" ht="19.5" customHeight="1">
      <c r="N194" s="190"/>
    </row>
    <row r="195" ht="19.5" customHeight="1">
      <c r="N195" s="190"/>
    </row>
    <row r="196" ht="19.5" customHeight="1">
      <c r="N196" s="190"/>
    </row>
    <row r="197" ht="19.5" customHeight="1">
      <c r="N197" s="190"/>
    </row>
    <row r="198" ht="19.5" customHeight="1">
      <c r="N198" s="190"/>
    </row>
    <row r="199" ht="19.5" customHeight="1">
      <c r="N199" s="190"/>
    </row>
    <row r="200" ht="19.5" customHeight="1">
      <c r="N200" s="190"/>
    </row>
    <row r="201" ht="19.5" customHeight="1">
      <c r="N201" s="190"/>
    </row>
    <row r="202" ht="19.5" customHeight="1">
      <c r="N202" s="190"/>
    </row>
    <row r="203" ht="19.5" customHeight="1">
      <c r="N203" s="190"/>
    </row>
    <row r="204" ht="19.5" customHeight="1">
      <c r="N204" s="190"/>
    </row>
    <row r="205" ht="19.5" customHeight="1">
      <c r="N205" s="190"/>
    </row>
    <row r="206" ht="19.5" customHeight="1">
      <c r="N206" s="190"/>
    </row>
    <row r="207" ht="19.5" customHeight="1">
      <c r="N207" s="190"/>
    </row>
    <row r="208" ht="19.5" customHeight="1">
      <c r="N208" s="190"/>
    </row>
    <row r="209" ht="19.5" customHeight="1">
      <c r="N209" s="190"/>
    </row>
    <row r="210" ht="19.5" customHeight="1">
      <c r="N210" s="190"/>
    </row>
    <row r="211" ht="19.5" customHeight="1">
      <c r="N211" s="190"/>
    </row>
    <row r="212" ht="19.5" customHeight="1">
      <c r="N212" s="190"/>
    </row>
    <row r="213" ht="19.5" customHeight="1">
      <c r="N213" s="190"/>
    </row>
    <row r="214" ht="19.5" customHeight="1">
      <c r="N214" s="190"/>
    </row>
    <row r="215" ht="19.5" customHeight="1">
      <c r="N215" s="190"/>
    </row>
    <row r="216" ht="19.5" customHeight="1">
      <c r="N216" s="190"/>
    </row>
    <row r="217" ht="19.5" customHeight="1">
      <c r="N217" s="190"/>
    </row>
    <row r="218" ht="19.5" customHeight="1">
      <c r="N218" s="190"/>
    </row>
    <row r="219" ht="19.5" customHeight="1">
      <c r="N219" s="190"/>
    </row>
    <row r="220" ht="19.5" customHeight="1">
      <c r="N220" s="190"/>
    </row>
    <row r="221" ht="19.5" customHeight="1">
      <c r="N221" s="190"/>
    </row>
    <row r="222" ht="19.5" customHeight="1">
      <c r="N222" s="190"/>
    </row>
    <row r="223" ht="19.5" customHeight="1">
      <c r="N223" s="190"/>
    </row>
    <row r="224" ht="19.5" customHeight="1">
      <c r="N224" s="190"/>
    </row>
    <row r="225" ht="19.5" customHeight="1">
      <c r="N225" s="190"/>
    </row>
    <row r="226" ht="19.5" customHeight="1">
      <c r="N226" s="190"/>
    </row>
    <row r="227" ht="19.5" customHeight="1">
      <c r="N227" s="190"/>
    </row>
    <row r="228" ht="19.5" customHeight="1">
      <c r="N228" s="190"/>
    </row>
    <row r="229" ht="19.5" customHeight="1">
      <c r="N229" s="190"/>
    </row>
    <row r="230" ht="19.5" customHeight="1">
      <c r="N230" s="190"/>
    </row>
    <row r="231" ht="19.5" customHeight="1">
      <c r="N231" s="190"/>
    </row>
    <row r="232" ht="19.5" customHeight="1">
      <c r="N232" s="190"/>
    </row>
    <row r="233" ht="19.5" customHeight="1">
      <c r="N233" s="190"/>
    </row>
    <row r="234" ht="19.5" customHeight="1">
      <c r="N234" s="190"/>
    </row>
    <row r="235" ht="19.5" customHeight="1">
      <c r="N235" s="190"/>
    </row>
    <row r="236" ht="19.5" customHeight="1">
      <c r="N236" s="190"/>
    </row>
    <row r="237" ht="19.5" customHeight="1">
      <c r="N237" s="190"/>
    </row>
    <row r="238" ht="19.5" customHeight="1">
      <c r="N238" s="190"/>
    </row>
    <row r="239" ht="19.5" customHeight="1">
      <c r="N239" s="190"/>
    </row>
    <row r="240" ht="19.5" customHeight="1">
      <c r="N240" s="190"/>
    </row>
    <row r="241" ht="19.5" customHeight="1">
      <c r="N241" s="190"/>
    </row>
    <row r="242" ht="19.5" customHeight="1">
      <c r="N242" s="190"/>
    </row>
    <row r="243" ht="19.5" customHeight="1">
      <c r="N243" s="190"/>
    </row>
    <row r="244" ht="19.5" customHeight="1">
      <c r="N244" s="190"/>
    </row>
    <row r="245" ht="19.5" customHeight="1">
      <c r="N245" s="190"/>
    </row>
    <row r="246" ht="19.5" customHeight="1">
      <c r="N246" s="190"/>
    </row>
    <row r="247" ht="19.5" customHeight="1">
      <c r="N247" s="190"/>
    </row>
    <row r="248" ht="19.5" customHeight="1">
      <c r="N248" s="190"/>
    </row>
    <row r="249" ht="19.5" customHeight="1">
      <c r="N249" s="190"/>
    </row>
    <row r="250" ht="19.5" customHeight="1">
      <c r="N250" s="190"/>
    </row>
    <row r="251" ht="19.5" customHeight="1">
      <c r="N251" s="190"/>
    </row>
    <row r="252" ht="19.5" customHeight="1">
      <c r="N252" s="190"/>
    </row>
    <row r="253" ht="19.5" customHeight="1">
      <c r="N253" s="190"/>
    </row>
    <row r="254" ht="19.5" customHeight="1">
      <c r="N254" s="190"/>
    </row>
    <row r="255" ht="19.5" customHeight="1">
      <c r="N255" s="190"/>
    </row>
    <row r="256" ht="19.5" customHeight="1">
      <c r="N256" s="190"/>
    </row>
    <row r="257" ht="19.5" customHeight="1">
      <c r="N257" s="190"/>
    </row>
    <row r="258" ht="19.5" customHeight="1">
      <c r="N258" s="190"/>
    </row>
    <row r="259" ht="19.5" customHeight="1">
      <c r="N259" s="190"/>
    </row>
    <row r="260" ht="19.5" customHeight="1">
      <c r="N260" s="190"/>
    </row>
    <row r="261" ht="19.5" customHeight="1">
      <c r="N261" s="190"/>
    </row>
    <row r="262" ht="19.5" customHeight="1">
      <c r="N262" s="190"/>
    </row>
    <row r="263" ht="19.5" customHeight="1">
      <c r="N263" s="190"/>
    </row>
    <row r="264" ht="19.5" customHeight="1">
      <c r="N264" s="190"/>
    </row>
    <row r="265" ht="19.5" customHeight="1">
      <c r="N265" s="190"/>
    </row>
    <row r="266" ht="19.5" customHeight="1">
      <c r="N266" s="190"/>
    </row>
    <row r="267" ht="19.5" customHeight="1">
      <c r="N267" s="190"/>
    </row>
    <row r="268" ht="19.5" customHeight="1">
      <c r="N268" s="190"/>
    </row>
    <row r="269" ht="19.5" customHeight="1">
      <c r="N269" s="190"/>
    </row>
    <row r="270" ht="19.5" customHeight="1">
      <c r="N270" s="190"/>
    </row>
    <row r="271" ht="19.5" customHeight="1">
      <c r="N271" s="190"/>
    </row>
    <row r="272" ht="19.5" customHeight="1">
      <c r="N272" s="190"/>
    </row>
    <row r="273" ht="19.5" customHeight="1">
      <c r="N273" s="190"/>
    </row>
    <row r="274" ht="19.5" customHeight="1">
      <c r="N274" s="190"/>
    </row>
    <row r="275" ht="19.5" customHeight="1">
      <c r="N275" s="190"/>
    </row>
    <row r="276" ht="19.5" customHeight="1">
      <c r="N276" s="190"/>
    </row>
    <row r="277" ht="19.5" customHeight="1">
      <c r="N277" s="190"/>
    </row>
    <row r="278" ht="19.5" customHeight="1">
      <c r="N278" s="190"/>
    </row>
    <row r="279" ht="19.5" customHeight="1">
      <c r="N279" s="190"/>
    </row>
    <row r="280" ht="19.5" customHeight="1">
      <c r="N280" s="190"/>
    </row>
    <row r="281" ht="19.5" customHeight="1">
      <c r="N281" s="190"/>
    </row>
    <row r="282" ht="19.5" customHeight="1">
      <c r="N282" s="190"/>
    </row>
    <row r="283" ht="19.5" customHeight="1">
      <c r="N283" s="190"/>
    </row>
    <row r="284" ht="19.5" customHeight="1">
      <c r="N284" s="190"/>
    </row>
    <row r="285" ht="19.5" customHeight="1">
      <c r="N285" s="190"/>
    </row>
    <row r="286" ht="19.5" customHeight="1">
      <c r="N286" s="190"/>
    </row>
    <row r="287" ht="19.5" customHeight="1">
      <c r="N287" s="190"/>
    </row>
    <row r="288" ht="19.5" customHeight="1">
      <c r="N288" s="190"/>
    </row>
    <row r="289" ht="19.5" customHeight="1">
      <c r="N289" s="190"/>
    </row>
    <row r="290" ht="19.5" customHeight="1">
      <c r="N290" s="190"/>
    </row>
    <row r="291" ht="19.5" customHeight="1">
      <c r="N291" s="190"/>
    </row>
    <row r="292" ht="19.5" customHeight="1">
      <c r="N292" s="190"/>
    </row>
    <row r="293" ht="19.5" customHeight="1">
      <c r="N293" s="190"/>
    </row>
    <row r="294" ht="19.5" customHeight="1">
      <c r="N294" s="190"/>
    </row>
    <row r="295" ht="19.5" customHeight="1">
      <c r="N295" s="190"/>
    </row>
    <row r="296" ht="19.5" customHeight="1">
      <c r="N296" s="190"/>
    </row>
    <row r="297" ht="19.5" customHeight="1">
      <c r="N297" s="190"/>
    </row>
    <row r="298" ht="19.5" customHeight="1">
      <c r="N298" s="190"/>
    </row>
    <row r="299" ht="19.5" customHeight="1">
      <c r="N299" s="190"/>
    </row>
    <row r="300" ht="19.5" customHeight="1">
      <c r="N300" s="190"/>
    </row>
    <row r="301" ht="19.5" customHeight="1">
      <c r="N301" s="190"/>
    </row>
    <row r="302" ht="19.5" customHeight="1">
      <c r="N302" s="190"/>
    </row>
    <row r="303" ht="19.5" customHeight="1">
      <c r="N303" s="190"/>
    </row>
    <row r="304" ht="19.5" customHeight="1">
      <c r="N304" s="190"/>
    </row>
    <row r="305" ht="19.5" customHeight="1">
      <c r="N305" s="190"/>
    </row>
    <row r="306" ht="19.5" customHeight="1">
      <c r="N306" s="190"/>
    </row>
    <row r="307" ht="19.5" customHeight="1">
      <c r="N307" s="190"/>
    </row>
    <row r="308" ht="19.5" customHeight="1">
      <c r="N308" s="190"/>
    </row>
    <row r="309" ht="19.5" customHeight="1">
      <c r="N309" s="190"/>
    </row>
    <row r="310" ht="19.5" customHeight="1">
      <c r="N310" s="190"/>
    </row>
    <row r="311" ht="19.5" customHeight="1">
      <c r="N311" s="190"/>
    </row>
    <row r="312" ht="19.5" customHeight="1">
      <c r="N312" s="190"/>
    </row>
    <row r="313" ht="19.5" customHeight="1">
      <c r="N313" s="190"/>
    </row>
    <row r="314" ht="19.5" customHeight="1">
      <c r="N314" s="190"/>
    </row>
    <row r="315" ht="19.5" customHeight="1">
      <c r="N315" s="190"/>
    </row>
    <row r="316" ht="19.5" customHeight="1">
      <c r="N316" s="190"/>
    </row>
    <row r="317" ht="19.5" customHeight="1">
      <c r="N317" s="190"/>
    </row>
    <row r="318" ht="19.5" customHeight="1">
      <c r="N318" s="190"/>
    </row>
    <row r="319" ht="19.5" customHeight="1">
      <c r="N319" s="190"/>
    </row>
    <row r="320" ht="19.5" customHeight="1">
      <c r="N320" s="190"/>
    </row>
    <row r="321" ht="19.5" customHeight="1">
      <c r="N321" s="190"/>
    </row>
    <row r="322" ht="19.5" customHeight="1">
      <c r="N322" s="190"/>
    </row>
    <row r="323" ht="19.5" customHeight="1">
      <c r="N323" s="190"/>
    </row>
    <row r="324" ht="19.5" customHeight="1">
      <c r="N324" s="190"/>
    </row>
    <row r="325" ht="19.5" customHeight="1">
      <c r="N325" s="190"/>
    </row>
    <row r="326" ht="19.5" customHeight="1">
      <c r="N326" s="190"/>
    </row>
    <row r="327" ht="19.5" customHeight="1">
      <c r="N327" s="190"/>
    </row>
    <row r="328" ht="19.5" customHeight="1">
      <c r="N328" s="190"/>
    </row>
    <row r="329" ht="19.5" customHeight="1">
      <c r="N329" s="190"/>
    </row>
    <row r="330" ht="19.5" customHeight="1">
      <c r="N330" s="190"/>
    </row>
    <row r="331" ht="19.5" customHeight="1">
      <c r="N331" s="190"/>
    </row>
    <row r="332" ht="19.5" customHeight="1">
      <c r="N332" s="190"/>
    </row>
    <row r="333" ht="19.5" customHeight="1">
      <c r="N333" s="190"/>
    </row>
    <row r="334" ht="19.5" customHeight="1">
      <c r="N334" s="190"/>
    </row>
    <row r="335" ht="19.5" customHeight="1">
      <c r="N335" s="190"/>
    </row>
    <row r="336" ht="19.5" customHeight="1">
      <c r="N336" s="190"/>
    </row>
    <row r="337" ht="19.5" customHeight="1">
      <c r="N337" s="190"/>
    </row>
    <row r="338" ht="19.5" customHeight="1">
      <c r="N338" s="190"/>
    </row>
    <row r="339" ht="19.5" customHeight="1">
      <c r="N339" s="190"/>
    </row>
    <row r="340" ht="19.5" customHeight="1">
      <c r="N340" s="190"/>
    </row>
    <row r="341" ht="19.5" customHeight="1">
      <c r="N341" s="190"/>
    </row>
    <row r="342" ht="19.5" customHeight="1">
      <c r="N342" s="190"/>
    </row>
    <row r="343" ht="19.5" customHeight="1">
      <c r="N343" s="190"/>
    </row>
    <row r="344" ht="19.5" customHeight="1">
      <c r="N344" s="190"/>
    </row>
    <row r="345" ht="19.5" customHeight="1">
      <c r="N345" s="190"/>
    </row>
    <row r="346" ht="19.5" customHeight="1">
      <c r="N346" s="190"/>
    </row>
    <row r="347" ht="19.5" customHeight="1">
      <c r="N347" s="190"/>
    </row>
    <row r="348" ht="19.5" customHeight="1">
      <c r="N348" s="190"/>
    </row>
    <row r="349" ht="19.5" customHeight="1">
      <c r="N349" s="190"/>
    </row>
    <row r="350" ht="19.5" customHeight="1">
      <c r="N350" s="190"/>
    </row>
    <row r="351" ht="19.5" customHeight="1">
      <c r="N351" s="190"/>
    </row>
    <row r="352" ht="19.5" customHeight="1">
      <c r="N352" s="190"/>
    </row>
    <row r="353" ht="19.5" customHeight="1">
      <c r="N353" s="190"/>
    </row>
    <row r="354" ht="19.5" customHeight="1">
      <c r="N354" s="190"/>
    </row>
    <row r="355" ht="19.5" customHeight="1">
      <c r="N355" s="190"/>
    </row>
    <row r="356" ht="19.5" customHeight="1">
      <c r="N356" s="190"/>
    </row>
    <row r="357" ht="19.5" customHeight="1">
      <c r="N357" s="190"/>
    </row>
    <row r="358" ht="19.5" customHeight="1">
      <c r="N358" s="190"/>
    </row>
    <row r="359" ht="19.5" customHeight="1">
      <c r="N359" s="190"/>
    </row>
    <row r="360" ht="19.5" customHeight="1">
      <c r="N360" s="190"/>
    </row>
    <row r="361" ht="19.5" customHeight="1">
      <c r="N361" s="190"/>
    </row>
    <row r="362" ht="19.5" customHeight="1">
      <c r="N362" s="190"/>
    </row>
    <row r="363" ht="19.5" customHeight="1">
      <c r="N363" s="190"/>
    </row>
    <row r="364" ht="19.5" customHeight="1">
      <c r="N364" s="190"/>
    </row>
    <row r="365" ht="19.5" customHeight="1">
      <c r="N365" s="190"/>
    </row>
    <row r="366" ht="19.5" customHeight="1">
      <c r="N366" s="190"/>
    </row>
    <row r="367" ht="19.5" customHeight="1">
      <c r="N367" s="190"/>
    </row>
    <row r="368" ht="19.5" customHeight="1">
      <c r="N368" s="190"/>
    </row>
    <row r="369" ht="19.5" customHeight="1">
      <c r="N369" s="190"/>
    </row>
    <row r="370" ht="19.5" customHeight="1">
      <c r="N370" s="190"/>
    </row>
    <row r="371" ht="19.5" customHeight="1">
      <c r="N371" s="190"/>
    </row>
    <row r="372" ht="19.5" customHeight="1">
      <c r="N372" s="190"/>
    </row>
    <row r="373" ht="19.5" customHeight="1">
      <c r="N373" s="190"/>
    </row>
    <row r="374" ht="19.5" customHeight="1">
      <c r="N374" s="190"/>
    </row>
    <row r="375" ht="19.5" customHeight="1">
      <c r="N375" s="190"/>
    </row>
    <row r="376" ht="19.5" customHeight="1">
      <c r="N376" s="190"/>
    </row>
    <row r="377" ht="19.5" customHeight="1">
      <c r="N377" s="190"/>
    </row>
    <row r="378" ht="19.5" customHeight="1">
      <c r="N378" s="190"/>
    </row>
    <row r="379" ht="19.5" customHeight="1">
      <c r="N379" s="190"/>
    </row>
    <row r="380" ht="19.5" customHeight="1">
      <c r="N380" s="190"/>
    </row>
    <row r="381" ht="19.5" customHeight="1">
      <c r="N381" s="190"/>
    </row>
    <row r="382" ht="19.5" customHeight="1">
      <c r="N382" s="190"/>
    </row>
    <row r="383" ht="19.5" customHeight="1">
      <c r="N383" s="190"/>
    </row>
    <row r="384" ht="19.5" customHeight="1">
      <c r="N384" s="190"/>
    </row>
    <row r="385" ht="19.5" customHeight="1">
      <c r="N385" s="190"/>
    </row>
    <row r="386" ht="19.5" customHeight="1">
      <c r="N386" s="190"/>
    </row>
    <row r="387" ht="19.5" customHeight="1">
      <c r="N387" s="190"/>
    </row>
    <row r="388" ht="19.5" customHeight="1">
      <c r="N388" s="190"/>
    </row>
    <row r="389" ht="19.5" customHeight="1">
      <c r="N389" s="190"/>
    </row>
    <row r="390" ht="19.5" customHeight="1">
      <c r="N390" s="190"/>
    </row>
    <row r="391" ht="19.5" customHeight="1">
      <c r="N391" s="190"/>
    </row>
    <row r="392" ht="19.5" customHeight="1">
      <c r="N392" s="190"/>
    </row>
    <row r="393" ht="19.5" customHeight="1">
      <c r="N393" s="190"/>
    </row>
    <row r="394" ht="19.5" customHeight="1">
      <c r="N394" s="190"/>
    </row>
    <row r="395" ht="19.5" customHeight="1">
      <c r="N395" s="190"/>
    </row>
    <row r="396" ht="19.5" customHeight="1">
      <c r="N396" s="190"/>
    </row>
    <row r="397" ht="19.5" customHeight="1">
      <c r="N397" s="190"/>
    </row>
    <row r="398" ht="19.5" customHeight="1">
      <c r="N398" s="190"/>
    </row>
    <row r="399" ht="19.5" customHeight="1">
      <c r="N399" s="190"/>
    </row>
    <row r="400" ht="19.5" customHeight="1">
      <c r="N400" s="190"/>
    </row>
    <row r="401" ht="19.5" customHeight="1">
      <c r="N401" s="190"/>
    </row>
    <row r="402" ht="19.5" customHeight="1">
      <c r="N402" s="190"/>
    </row>
    <row r="403" ht="19.5" customHeight="1">
      <c r="N403" s="190"/>
    </row>
    <row r="404" ht="19.5" customHeight="1">
      <c r="N404" s="190"/>
    </row>
    <row r="405" ht="19.5" customHeight="1">
      <c r="N405" s="190"/>
    </row>
    <row r="406" ht="19.5" customHeight="1">
      <c r="N406" s="190"/>
    </row>
    <row r="407" ht="19.5" customHeight="1">
      <c r="N407" s="190"/>
    </row>
    <row r="408" ht="19.5" customHeight="1">
      <c r="N408" s="190"/>
    </row>
    <row r="409" ht="19.5" customHeight="1">
      <c r="N409" s="190"/>
    </row>
    <row r="410" ht="19.5" customHeight="1">
      <c r="N410" s="190"/>
    </row>
    <row r="411" ht="19.5" customHeight="1">
      <c r="N411" s="190"/>
    </row>
    <row r="412" ht="19.5" customHeight="1">
      <c r="N412" s="190"/>
    </row>
    <row r="413" ht="19.5" customHeight="1">
      <c r="N413" s="190"/>
    </row>
    <row r="414" ht="19.5" customHeight="1">
      <c r="N414" s="190"/>
    </row>
    <row r="415" ht="19.5" customHeight="1">
      <c r="N415" s="190"/>
    </row>
    <row r="416" ht="19.5" customHeight="1">
      <c r="N416" s="190"/>
    </row>
    <row r="417" ht="19.5" customHeight="1">
      <c r="N417" s="190"/>
    </row>
    <row r="418" ht="19.5" customHeight="1">
      <c r="N418" s="190"/>
    </row>
    <row r="419" ht="19.5" customHeight="1">
      <c r="N419" s="190"/>
    </row>
    <row r="420" ht="19.5" customHeight="1">
      <c r="N420" s="190"/>
    </row>
    <row r="421" ht="19.5" customHeight="1">
      <c r="N421" s="190"/>
    </row>
    <row r="422" ht="19.5" customHeight="1">
      <c r="N422" s="190"/>
    </row>
    <row r="423" ht="19.5" customHeight="1">
      <c r="N423" s="190"/>
    </row>
    <row r="424" ht="19.5" customHeight="1">
      <c r="N424" s="190"/>
    </row>
    <row r="425" ht="19.5" customHeight="1">
      <c r="N425" s="190"/>
    </row>
    <row r="426" ht="19.5" customHeight="1">
      <c r="N426" s="190"/>
    </row>
    <row r="427" ht="19.5" customHeight="1">
      <c r="N427" s="190"/>
    </row>
    <row r="428" ht="19.5" customHeight="1">
      <c r="N428" s="190"/>
    </row>
    <row r="429" ht="19.5" customHeight="1">
      <c r="N429" s="190"/>
    </row>
    <row r="430" ht="19.5" customHeight="1">
      <c r="N430" s="190"/>
    </row>
    <row r="431" ht="19.5" customHeight="1">
      <c r="N431" s="190"/>
    </row>
    <row r="432" ht="19.5" customHeight="1">
      <c r="N432" s="190"/>
    </row>
    <row r="433" ht="19.5" customHeight="1">
      <c r="N433" s="190"/>
    </row>
    <row r="434" ht="19.5" customHeight="1">
      <c r="N434" s="190"/>
    </row>
    <row r="435" ht="19.5" customHeight="1">
      <c r="N435" s="190"/>
    </row>
    <row r="436" ht="19.5" customHeight="1">
      <c r="N436" s="190"/>
    </row>
    <row r="437" ht="19.5" customHeight="1">
      <c r="N437" s="190"/>
    </row>
    <row r="438" ht="19.5" customHeight="1">
      <c r="N438" s="190"/>
    </row>
    <row r="439" ht="19.5" customHeight="1">
      <c r="N439" s="190"/>
    </row>
    <row r="440" ht="19.5" customHeight="1">
      <c r="N440" s="190"/>
    </row>
    <row r="441" ht="19.5" customHeight="1">
      <c r="N441" s="190"/>
    </row>
    <row r="442" ht="19.5" customHeight="1">
      <c r="N442" s="190"/>
    </row>
    <row r="443" ht="19.5" customHeight="1">
      <c r="N443" s="190"/>
    </row>
    <row r="444" ht="19.5" customHeight="1">
      <c r="N444" s="190"/>
    </row>
    <row r="445" ht="19.5" customHeight="1">
      <c r="N445" s="190"/>
    </row>
    <row r="446" ht="19.5" customHeight="1">
      <c r="N446" s="190"/>
    </row>
    <row r="447" ht="19.5" customHeight="1">
      <c r="N447" s="190"/>
    </row>
    <row r="448" ht="19.5" customHeight="1">
      <c r="N448" s="190"/>
    </row>
    <row r="449" ht="19.5" customHeight="1">
      <c r="N449" s="190"/>
    </row>
    <row r="450" ht="19.5" customHeight="1">
      <c r="N450" s="190"/>
    </row>
    <row r="451" ht="19.5" customHeight="1">
      <c r="N451" s="190"/>
    </row>
    <row r="452" ht="19.5" customHeight="1">
      <c r="N452" s="190"/>
    </row>
    <row r="453" ht="19.5" customHeight="1">
      <c r="N453" s="190"/>
    </row>
    <row r="454" ht="19.5" customHeight="1">
      <c r="N454" s="190"/>
    </row>
    <row r="455" ht="19.5" customHeight="1">
      <c r="N455" s="190"/>
    </row>
    <row r="456" ht="19.5" customHeight="1">
      <c r="N456" s="190"/>
    </row>
    <row r="457" ht="19.5" customHeight="1">
      <c r="N457" s="190"/>
    </row>
    <row r="458" ht="19.5" customHeight="1">
      <c r="N458" s="190"/>
    </row>
    <row r="459" ht="19.5" customHeight="1">
      <c r="N459" s="190"/>
    </row>
    <row r="460" ht="19.5" customHeight="1">
      <c r="N460" s="190"/>
    </row>
    <row r="461" ht="19.5" customHeight="1">
      <c r="N461" s="190"/>
    </row>
    <row r="462" ht="19.5" customHeight="1">
      <c r="N462" s="190"/>
    </row>
    <row r="463" ht="19.5" customHeight="1">
      <c r="N463" s="190"/>
    </row>
    <row r="464" ht="19.5" customHeight="1">
      <c r="N464" s="190"/>
    </row>
    <row r="465" ht="19.5" customHeight="1">
      <c r="N465" s="190"/>
    </row>
    <row r="466" ht="19.5" customHeight="1">
      <c r="N466" s="190"/>
    </row>
    <row r="467" ht="19.5" customHeight="1">
      <c r="N467" s="190"/>
    </row>
    <row r="468" ht="19.5" customHeight="1">
      <c r="N468" s="190"/>
    </row>
    <row r="469" ht="19.5" customHeight="1">
      <c r="N469" s="190"/>
    </row>
    <row r="470" ht="19.5" customHeight="1">
      <c r="N470" s="190"/>
    </row>
    <row r="471" ht="19.5" customHeight="1">
      <c r="N471" s="190"/>
    </row>
    <row r="472" ht="19.5" customHeight="1">
      <c r="N472" s="190"/>
    </row>
    <row r="473" ht="19.5" customHeight="1">
      <c r="N473" s="190"/>
    </row>
    <row r="474" ht="19.5" customHeight="1">
      <c r="N474" s="190"/>
    </row>
    <row r="475" ht="19.5" customHeight="1">
      <c r="N475" s="190"/>
    </row>
    <row r="476" ht="19.5" customHeight="1">
      <c r="N476" s="190"/>
    </row>
    <row r="477" ht="19.5" customHeight="1">
      <c r="N477" s="190"/>
    </row>
    <row r="478" ht="19.5" customHeight="1">
      <c r="N478" s="190"/>
    </row>
    <row r="479" ht="19.5" customHeight="1">
      <c r="N479" s="190"/>
    </row>
    <row r="480" ht="19.5" customHeight="1">
      <c r="N480" s="190"/>
    </row>
    <row r="481" ht="19.5" customHeight="1">
      <c r="N481" s="190"/>
    </row>
    <row r="482" ht="19.5" customHeight="1">
      <c r="N482" s="190"/>
    </row>
    <row r="483" ht="19.5" customHeight="1">
      <c r="N483" s="190"/>
    </row>
    <row r="484" ht="19.5" customHeight="1">
      <c r="N484" s="190"/>
    </row>
    <row r="485" ht="19.5" customHeight="1">
      <c r="N485" s="190"/>
    </row>
    <row r="486" ht="19.5" customHeight="1">
      <c r="N486" s="190"/>
    </row>
    <row r="487" ht="19.5" customHeight="1">
      <c r="N487" s="190"/>
    </row>
    <row r="488" ht="19.5" customHeight="1">
      <c r="N488" s="190"/>
    </row>
    <row r="489" ht="19.5" customHeight="1">
      <c r="N489" s="190"/>
    </row>
    <row r="490" ht="19.5" customHeight="1">
      <c r="N490" s="190"/>
    </row>
    <row r="491" ht="19.5" customHeight="1">
      <c r="N491" s="190"/>
    </row>
    <row r="492" ht="19.5" customHeight="1">
      <c r="N492" s="190"/>
    </row>
    <row r="493" ht="19.5" customHeight="1">
      <c r="N493" s="190"/>
    </row>
    <row r="494" ht="19.5" customHeight="1">
      <c r="N494" s="190"/>
    </row>
    <row r="495" ht="19.5" customHeight="1">
      <c r="N495" s="190"/>
    </row>
    <row r="496" ht="19.5" customHeight="1">
      <c r="N496" s="190"/>
    </row>
    <row r="497" ht="19.5" customHeight="1">
      <c r="N497" s="190"/>
    </row>
    <row r="498" ht="19.5" customHeight="1">
      <c r="N498" s="190"/>
    </row>
    <row r="499" ht="19.5" customHeight="1">
      <c r="N499" s="190"/>
    </row>
    <row r="500" ht="19.5" customHeight="1">
      <c r="N500" s="190"/>
    </row>
    <row r="501" ht="19.5" customHeight="1">
      <c r="N501" s="190"/>
    </row>
    <row r="502" ht="19.5" customHeight="1">
      <c r="N502" s="190"/>
    </row>
    <row r="503" ht="19.5" customHeight="1">
      <c r="N503" s="190"/>
    </row>
    <row r="504" ht="19.5" customHeight="1">
      <c r="N504" s="190"/>
    </row>
    <row r="505" ht="19.5" customHeight="1">
      <c r="N505" s="190"/>
    </row>
    <row r="506" ht="19.5" customHeight="1">
      <c r="N506" s="190"/>
    </row>
    <row r="507" ht="19.5" customHeight="1">
      <c r="N507" s="190"/>
    </row>
    <row r="508" ht="19.5" customHeight="1">
      <c r="N508" s="190"/>
    </row>
    <row r="509" ht="19.5" customHeight="1">
      <c r="N509" s="190"/>
    </row>
    <row r="510" ht="19.5" customHeight="1">
      <c r="N510" s="190"/>
    </row>
    <row r="511" ht="19.5" customHeight="1">
      <c r="N511" s="190"/>
    </row>
    <row r="512" ht="19.5" customHeight="1">
      <c r="N512" s="190"/>
    </row>
    <row r="513" ht="19.5" customHeight="1">
      <c r="N513" s="190"/>
    </row>
    <row r="514" ht="19.5" customHeight="1">
      <c r="N514" s="190"/>
    </row>
    <row r="515" ht="19.5" customHeight="1">
      <c r="N515" s="190"/>
    </row>
    <row r="516" ht="19.5" customHeight="1">
      <c r="N516" s="190"/>
    </row>
    <row r="517" ht="19.5" customHeight="1">
      <c r="N517" s="190"/>
    </row>
    <row r="518" ht="19.5" customHeight="1">
      <c r="N518" s="190"/>
    </row>
    <row r="519" ht="19.5" customHeight="1">
      <c r="N519" s="190"/>
    </row>
    <row r="520" ht="19.5" customHeight="1">
      <c r="N520" s="190"/>
    </row>
    <row r="521" ht="19.5" customHeight="1">
      <c r="N521" s="190"/>
    </row>
    <row r="522" ht="19.5" customHeight="1">
      <c r="N522" s="190"/>
    </row>
    <row r="523" ht="19.5" customHeight="1">
      <c r="N523" s="190"/>
    </row>
    <row r="524" ht="19.5" customHeight="1">
      <c r="N524" s="190"/>
    </row>
    <row r="525" ht="19.5" customHeight="1">
      <c r="N525" s="190"/>
    </row>
    <row r="526" ht="19.5" customHeight="1">
      <c r="N526" s="190"/>
    </row>
    <row r="527" ht="19.5" customHeight="1">
      <c r="N527" s="190"/>
    </row>
    <row r="528" ht="19.5" customHeight="1">
      <c r="N528" s="190"/>
    </row>
    <row r="529" ht="19.5" customHeight="1">
      <c r="N529" s="190"/>
    </row>
    <row r="530" ht="19.5" customHeight="1">
      <c r="N530" s="190"/>
    </row>
    <row r="531" ht="19.5" customHeight="1">
      <c r="N531" s="190"/>
    </row>
    <row r="532" ht="19.5" customHeight="1">
      <c r="N532" s="190"/>
    </row>
    <row r="533" ht="19.5" customHeight="1">
      <c r="N533" s="190"/>
    </row>
    <row r="534" ht="19.5" customHeight="1">
      <c r="N534" s="190"/>
    </row>
    <row r="535" ht="19.5" customHeight="1">
      <c r="N535" s="190"/>
    </row>
    <row r="536" ht="19.5" customHeight="1">
      <c r="N536" s="190"/>
    </row>
    <row r="537" ht="19.5" customHeight="1">
      <c r="N537" s="190"/>
    </row>
    <row r="538" ht="19.5" customHeight="1">
      <c r="N538" s="190"/>
    </row>
    <row r="539" ht="19.5" customHeight="1">
      <c r="N539" s="190"/>
    </row>
    <row r="540" ht="19.5" customHeight="1">
      <c r="N540" s="190"/>
    </row>
    <row r="541" ht="19.5" customHeight="1">
      <c r="N541" s="190"/>
    </row>
    <row r="542" ht="19.5" customHeight="1">
      <c r="N542" s="190"/>
    </row>
    <row r="543" ht="19.5" customHeight="1">
      <c r="N543" s="190"/>
    </row>
    <row r="544" ht="19.5" customHeight="1">
      <c r="N544" s="190"/>
    </row>
    <row r="545" ht="19.5" customHeight="1">
      <c r="N545" s="190"/>
    </row>
    <row r="546" ht="19.5" customHeight="1">
      <c r="N546" s="190"/>
    </row>
    <row r="547" ht="19.5" customHeight="1">
      <c r="N547" s="190"/>
    </row>
    <row r="548" ht="19.5" customHeight="1">
      <c r="N548" s="190"/>
    </row>
    <row r="549" ht="19.5" customHeight="1">
      <c r="N549" s="190"/>
    </row>
    <row r="550" ht="19.5" customHeight="1">
      <c r="N550" s="190"/>
    </row>
    <row r="551" ht="19.5" customHeight="1">
      <c r="N551" s="190"/>
    </row>
    <row r="552" ht="19.5" customHeight="1">
      <c r="N552" s="190"/>
    </row>
    <row r="553" ht="19.5" customHeight="1">
      <c r="N553" s="190"/>
    </row>
    <row r="554" ht="19.5" customHeight="1">
      <c r="N554" s="190"/>
    </row>
    <row r="555" ht="19.5" customHeight="1">
      <c r="N555" s="190"/>
    </row>
    <row r="556" ht="19.5" customHeight="1">
      <c r="N556" s="190"/>
    </row>
    <row r="557" ht="19.5" customHeight="1">
      <c r="N557" s="190"/>
    </row>
    <row r="558" ht="19.5" customHeight="1">
      <c r="N558" s="190"/>
    </row>
    <row r="559" ht="19.5" customHeight="1">
      <c r="N559" s="190"/>
    </row>
    <row r="560" ht="19.5" customHeight="1">
      <c r="N560" s="190"/>
    </row>
    <row r="561" ht="19.5" customHeight="1">
      <c r="N561" s="190"/>
    </row>
    <row r="562" ht="19.5" customHeight="1">
      <c r="N562" s="190"/>
    </row>
    <row r="563" ht="19.5" customHeight="1">
      <c r="N563" s="190"/>
    </row>
    <row r="564" ht="19.5" customHeight="1">
      <c r="N564" s="190"/>
    </row>
    <row r="565" ht="19.5" customHeight="1">
      <c r="N565" s="190"/>
    </row>
    <row r="566" ht="19.5" customHeight="1">
      <c r="N566" s="190"/>
    </row>
    <row r="567" ht="19.5" customHeight="1">
      <c r="N567" s="190"/>
    </row>
    <row r="568" ht="19.5" customHeight="1">
      <c r="N568" s="190"/>
    </row>
    <row r="569" ht="19.5" customHeight="1">
      <c r="N569" s="190"/>
    </row>
    <row r="570" ht="19.5" customHeight="1">
      <c r="N570" s="190"/>
    </row>
    <row r="571" ht="19.5" customHeight="1">
      <c r="N571" s="190"/>
    </row>
    <row r="572" ht="19.5" customHeight="1">
      <c r="N572" s="190"/>
    </row>
    <row r="573" ht="19.5" customHeight="1">
      <c r="N573" s="190"/>
    </row>
    <row r="574" ht="19.5" customHeight="1">
      <c r="N574" s="190"/>
    </row>
    <row r="575" ht="19.5" customHeight="1">
      <c r="N575" s="190"/>
    </row>
    <row r="576" ht="19.5" customHeight="1">
      <c r="N576" s="190"/>
    </row>
    <row r="577" ht="19.5" customHeight="1">
      <c r="N577" s="190"/>
    </row>
    <row r="578" ht="19.5" customHeight="1">
      <c r="N578" s="190"/>
    </row>
    <row r="579" ht="19.5" customHeight="1">
      <c r="N579" s="190"/>
    </row>
    <row r="580" ht="19.5" customHeight="1">
      <c r="N580" s="190"/>
    </row>
    <row r="581" ht="19.5" customHeight="1">
      <c r="N581" s="190"/>
    </row>
    <row r="582" ht="19.5" customHeight="1">
      <c r="N582" s="190"/>
    </row>
    <row r="583" ht="19.5" customHeight="1">
      <c r="N583" s="190"/>
    </row>
    <row r="584" ht="19.5" customHeight="1">
      <c r="N584" s="190"/>
    </row>
    <row r="585" ht="19.5" customHeight="1">
      <c r="N585" s="190"/>
    </row>
    <row r="586" ht="19.5" customHeight="1">
      <c r="N586" s="190"/>
    </row>
    <row r="587" ht="19.5" customHeight="1">
      <c r="N587" s="190"/>
    </row>
    <row r="588" ht="19.5" customHeight="1">
      <c r="N588" s="190"/>
    </row>
    <row r="589" ht="19.5" customHeight="1">
      <c r="N589" s="190"/>
    </row>
    <row r="590" ht="19.5" customHeight="1">
      <c r="N590" s="190"/>
    </row>
    <row r="591" ht="19.5" customHeight="1">
      <c r="N591" s="190"/>
    </row>
    <row r="592" ht="19.5" customHeight="1">
      <c r="N592" s="190"/>
    </row>
    <row r="593" ht="19.5" customHeight="1">
      <c r="N593" s="190"/>
    </row>
    <row r="594" ht="19.5" customHeight="1">
      <c r="N594" s="190"/>
    </row>
    <row r="595" ht="19.5" customHeight="1">
      <c r="N595" s="190"/>
    </row>
    <row r="596" ht="19.5" customHeight="1">
      <c r="N596" s="190"/>
    </row>
    <row r="597" ht="19.5" customHeight="1">
      <c r="N597" s="190"/>
    </row>
    <row r="598" ht="19.5" customHeight="1">
      <c r="N598" s="190"/>
    </row>
    <row r="599" ht="19.5" customHeight="1">
      <c r="N599" s="190"/>
    </row>
    <row r="600" ht="19.5" customHeight="1">
      <c r="N600" s="190"/>
    </row>
    <row r="601" ht="19.5" customHeight="1">
      <c r="N601" s="190"/>
    </row>
    <row r="602" ht="19.5" customHeight="1">
      <c r="N602" s="190"/>
    </row>
    <row r="603" ht="19.5" customHeight="1">
      <c r="N603" s="190"/>
    </row>
    <row r="604" ht="19.5" customHeight="1">
      <c r="N604" s="190"/>
    </row>
    <row r="605" ht="19.5" customHeight="1">
      <c r="N605" s="190"/>
    </row>
    <row r="606" ht="19.5" customHeight="1">
      <c r="N606" s="190"/>
    </row>
    <row r="607" ht="19.5" customHeight="1">
      <c r="N607" s="190"/>
    </row>
    <row r="608" ht="19.5" customHeight="1">
      <c r="N608" s="190"/>
    </row>
    <row r="609" ht="19.5" customHeight="1">
      <c r="N609" s="190"/>
    </row>
    <row r="610" ht="19.5" customHeight="1">
      <c r="N610" s="190"/>
    </row>
    <row r="611" ht="19.5" customHeight="1">
      <c r="N611" s="190"/>
    </row>
    <row r="612" ht="19.5" customHeight="1">
      <c r="N612" s="190"/>
    </row>
    <row r="613" ht="19.5" customHeight="1">
      <c r="N613" s="190"/>
    </row>
    <row r="614" ht="19.5" customHeight="1">
      <c r="N614" s="190"/>
    </row>
    <row r="615" ht="19.5" customHeight="1">
      <c r="N615" s="190"/>
    </row>
    <row r="616" ht="19.5" customHeight="1">
      <c r="N616" s="190"/>
    </row>
    <row r="617" ht="19.5" customHeight="1">
      <c r="N617" s="190"/>
    </row>
    <row r="618" ht="19.5" customHeight="1">
      <c r="N618" s="190"/>
    </row>
    <row r="619" ht="19.5" customHeight="1">
      <c r="N619" s="190"/>
    </row>
    <row r="620" ht="19.5" customHeight="1">
      <c r="N620" s="190"/>
    </row>
    <row r="621" ht="19.5" customHeight="1">
      <c r="N621" s="190"/>
    </row>
    <row r="622" ht="19.5" customHeight="1">
      <c r="N622" s="190"/>
    </row>
    <row r="623" ht="19.5" customHeight="1">
      <c r="N623" s="190"/>
    </row>
    <row r="624" ht="19.5" customHeight="1">
      <c r="N624" s="190"/>
    </row>
    <row r="625" ht="19.5" customHeight="1">
      <c r="N625" s="190"/>
    </row>
    <row r="626" ht="19.5" customHeight="1">
      <c r="N626" s="190"/>
    </row>
    <row r="627" ht="19.5" customHeight="1">
      <c r="N627" s="190"/>
    </row>
    <row r="628" ht="19.5" customHeight="1">
      <c r="N628" s="190"/>
    </row>
    <row r="629" ht="19.5" customHeight="1">
      <c r="N629" s="190"/>
    </row>
    <row r="630" ht="19.5" customHeight="1">
      <c r="N630" s="190"/>
    </row>
    <row r="631" ht="19.5" customHeight="1">
      <c r="N631" s="190"/>
    </row>
    <row r="632" ht="19.5" customHeight="1">
      <c r="N632" s="190"/>
    </row>
    <row r="633" ht="19.5" customHeight="1">
      <c r="N633" s="190"/>
    </row>
    <row r="634" ht="19.5" customHeight="1">
      <c r="N634" s="190"/>
    </row>
    <row r="635" ht="19.5" customHeight="1">
      <c r="N635" s="190"/>
    </row>
    <row r="636" ht="19.5" customHeight="1">
      <c r="N636" s="190"/>
    </row>
    <row r="637" ht="19.5" customHeight="1">
      <c r="N637" s="190"/>
    </row>
    <row r="638" ht="19.5" customHeight="1">
      <c r="N638" s="190"/>
    </row>
    <row r="639" ht="19.5" customHeight="1">
      <c r="N639" s="190"/>
    </row>
    <row r="640" ht="19.5" customHeight="1">
      <c r="N640" s="190"/>
    </row>
    <row r="641" ht="19.5" customHeight="1">
      <c r="N641" s="190"/>
    </row>
    <row r="642" ht="19.5" customHeight="1">
      <c r="N642" s="190"/>
    </row>
    <row r="643" ht="19.5" customHeight="1">
      <c r="N643" s="190"/>
    </row>
    <row r="644" ht="19.5" customHeight="1">
      <c r="N644" s="190"/>
    </row>
    <row r="645" ht="19.5" customHeight="1">
      <c r="N645" s="190"/>
    </row>
    <row r="646" ht="19.5" customHeight="1">
      <c r="N646" s="190"/>
    </row>
    <row r="647" ht="19.5" customHeight="1">
      <c r="N647" s="190"/>
    </row>
    <row r="648" ht="19.5" customHeight="1">
      <c r="N648" s="190"/>
    </row>
    <row r="649" ht="19.5" customHeight="1">
      <c r="N649" s="190"/>
    </row>
    <row r="650" ht="19.5" customHeight="1">
      <c r="N650" s="190"/>
    </row>
    <row r="651" ht="19.5" customHeight="1">
      <c r="N651" s="190"/>
    </row>
    <row r="652" ht="19.5" customHeight="1">
      <c r="N652" s="190"/>
    </row>
    <row r="653" ht="19.5" customHeight="1">
      <c r="N653" s="190"/>
    </row>
    <row r="654" ht="19.5" customHeight="1">
      <c r="N654" s="190"/>
    </row>
    <row r="655" ht="19.5" customHeight="1">
      <c r="N655" s="190"/>
    </row>
    <row r="656" ht="19.5" customHeight="1">
      <c r="N656" s="190"/>
    </row>
    <row r="657" ht="19.5" customHeight="1">
      <c r="N657" s="190"/>
    </row>
    <row r="658" ht="19.5" customHeight="1">
      <c r="N658" s="190"/>
    </row>
    <row r="659" ht="19.5" customHeight="1">
      <c r="N659" s="190"/>
    </row>
    <row r="660" ht="19.5" customHeight="1">
      <c r="N660" s="190"/>
    </row>
    <row r="661" ht="19.5" customHeight="1">
      <c r="N661" s="190"/>
    </row>
    <row r="662" ht="19.5" customHeight="1">
      <c r="N662" s="190"/>
    </row>
    <row r="663" ht="19.5" customHeight="1">
      <c r="N663" s="190"/>
    </row>
    <row r="664" ht="19.5" customHeight="1">
      <c r="N664" s="190"/>
    </row>
    <row r="665" ht="19.5" customHeight="1">
      <c r="N665" s="190"/>
    </row>
    <row r="666" ht="19.5" customHeight="1">
      <c r="N666" s="190"/>
    </row>
    <row r="667" ht="19.5" customHeight="1">
      <c r="N667" s="190"/>
    </row>
    <row r="668" ht="19.5" customHeight="1">
      <c r="N668" s="190"/>
    </row>
    <row r="669" ht="19.5" customHeight="1">
      <c r="N669" s="190"/>
    </row>
    <row r="670" ht="19.5" customHeight="1">
      <c r="N670" s="190"/>
    </row>
    <row r="671" ht="19.5" customHeight="1">
      <c r="N671" s="190"/>
    </row>
    <row r="672" ht="19.5" customHeight="1">
      <c r="N672" s="190"/>
    </row>
    <row r="673" ht="19.5" customHeight="1">
      <c r="N673" s="190"/>
    </row>
    <row r="674" ht="19.5" customHeight="1">
      <c r="N674" s="190"/>
    </row>
    <row r="675" ht="19.5" customHeight="1">
      <c r="N675" s="190"/>
    </row>
    <row r="676" ht="19.5" customHeight="1">
      <c r="N676" s="190"/>
    </row>
    <row r="677" ht="19.5" customHeight="1">
      <c r="N677" s="190"/>
    </row>
    <row r="678" ht="19.5" customHeight="1">
      <c r="N678" s="190"/>
    </row>
    <row r="679" ht="19.5" customHeight="1">
      <c r="N679" s="190"/>
    </row>
    <row r="680" ht="19.5" customHeight="1">
      <c r="N680" s="190"/>
    </row>
    <row r="681" ht="19.5" customHeight="1">
      <c r="N681" s="190"/>
    </row>
    <row r="682" ht="19.5" customHeight="1">
      <c r="N682" s="190"/>
    </row>
    <row r="683" ht="19.5" customHeight="1">
      <c r="N683" s="190"/>
    </row>
    <row r="684" ht="19.5" customHeight="1">
      <c r="N684" s="190"/>
    </row>
    <row r="685" ht="19.5" customHeight="1">
      <c r="N685" s="190"/>
    </row>
    <row r="686" ht="19.5" customHeight="1">
      <c r="N686" s="190"/>
    </row>
    <row r="687" ht="19.5" customHeight="1">
      <c r="N687" s="190"/>
    </row>
    <row r="688" ht="19.5" customHeight="1">
      <c r="N688" s="190"/>
    </row>
    <row r="689" ht="19.5" customHeight="1">
      <c r="N689" s="190"/>
    </row>
    <row r="690" ht="19.5" customHeight="1">
      <c r="N690" s="190"/>
    </row>
    <row r="691" ht="19.5" customHeight="1">
      <c r="N691" s="190"/>
    </row>
    <row r="692" ht="19.5" customHeight="1">
      <c r="N692" s="190"/>
    </row>
    <row r="693" ht="19.5" customHeight="1">
      <c r="N693" s="190"/>
    </row>
    <row r="694" ht="19.5" customHeight="1">
      <c r="N694" s="190"/>
    </row>
    <row r="695" ht="19.5" customHeight="1">
      <c r="N695" s="190"/>
    </row>
    <row r="696" ht="19.5" customHeight="1">
      <c r="N696" s="190"/>
    </row>
    <row r="697" ht="19.5" customHeight="1">
      <c r="N697" s="190"/>
    </row>
    <row r="698" ht="19.5" customHeight="1">
      <c r="N698" s="190"/>
    </row>
    <row r="699" ht="19.5" customHeight="1">
      <c r="N699" s="190"/>
    </row>
    <row r="700" ht="19.5" customHeight="1">
      <c r="N700" s="190"/>
    </row>
    <row r="701" ht="19.5" customHeight="1">
      <c r="N701" s="190"/>
    </row>
    <row r="702" ht="19.5" customHeight="1">
      <c r="N702" s="190"/>
    </row>
    <row r="703" ht="19.5" customHeight="1">
      <c r="N703" s="190"/>
    </row>
    <row r="704" ht="19.5" customHeight="1">
      <c r="N704" s="190"/>
    </row>
    <row r="705" ht="19.5" customHeight="1">
      <c r="N705" s="190"/>
    </row>
    <row r="706" ht="19.5" customHeight="1">
      <c r="N706" s="190"/>
    </row>
    <row r="707" ht="19.5" customHeight="1">
      <c r="N707" s="190"/>
    </row>
    <row r="708" ht="19.5" customHeight="1">
      <c r="N708" s="190"/>
    </row>
    <row r="709" ht="19.5" customHeight="1">
      <c r="N709" s="190"/>
    </row>
    <row r="710" ht="19.5" customHeight="1">
      <c r="N710" s="190"/>
    </row>
    <row r="711" ht="19.5" customHeight="1">
      <c r="N711" s="190"/>
    </row>
    <row r="712" ht="19.5" customHeight="1">
      <c r="N712" s="190"/>
    </row>
    <row r="713" ht="19.5" customHeight="1">
      <c r="N713" s="190"/>
    </row>
    <row r="714" ht="19.5" customHeight="1">
      <c r="N714" s="190"/>
    </row>
    <row r="715" ht="19.5" customHeight="1">
      <c r="N715" s="190"/>
    </row>
    <row r="716" ht="19.5" customHeight="1">
      <c r="N716" s="190"/>
    </row>
    <row r="717" ht="19.5" customHeight="1">
      <c r="N717" s="190"/>
    </row>
    <row r="718" ht="19.5" customHeight="1">
      <c r="N718" s="190"/>
    </row>
    <row r="719" ht="19.5" customHeight="1">
      <c r="N719" s="190"/>
    </row>
    <row r="720" ht="19.5" customHeight="1">
      <c r="N720" s="190"/>
    </row>
    <row r="721" ht="19.5" customHeight="1">
      <c r="N721" s="190"/>
    </row>
    <row r="722" ht="19.5" customHeight="1">
      <c r="N722" s="190"/>
    </row>
    <row r="723" ht="19.5" customHeight="1">
      <c r="N723" s="190"/>
    </row>
    <row r="724" ht="19.5" customHeight="1">
      <c r="N724" s="190"/>
    </row>
    <row r="725" ht="19.5" customHeight="1">
      <c r="N725" s="190"/>
    </row>
    <row r="726" ht="19.5" customHeight="1">
      <c r="N726" s="190"/>
    </row>
    <row r="727" ht="19.5" customHeight="1">
      <c r="N727" s="190"/>
    </row>
    <row r="728" ht="19.5" customHeight="1">
      <c r="N728" s="190"/>
    </row>
    <row r="729" ht="19.5" customHeight="1">
      <c r="N729" s="190"/>
    </row>
    <row r="730" ht="19.5" customHeight="1">
      <c r="N730" s="190"/>
    </row>
    <row r="731" ht="19.5" customHeight="1">
      <c r="N731" s="190"/>
    </row>
    <row r="732" ht="19.5" customHeight="1">
      <c r="N732" s="190"/>
    </row>
    <row r="733" ht="19.5" customHeight="1">
      <c r="N733" s="190"/>
    </row>
    <row r="734" ht="19.5" customHeight="1">
      <c r="N734" s="190"/>
    </row>
    <row r="735" ht="19.5" customHeight="1">
      <c r="N735" s="190"/>
    </row>
    <row r="736" ht="19.5" customHeight="1">
      <c r="N736" s="190"/>
    </row>
    <row r="737" ht="19.5" customHeight="1">
      <c r="N737" s="190"/>
    </row>
    <row r="738" ht="19.5" customHeight="1">
      <c r="N738" s="190"/>
    </row>
    <row r="739" ht="19.5" customHeight="1">
      <c r="N739" s="190"/>
    </row>
    <row r="740" ht="19.5" customHeight="1">
      <c r="N740" s="190"/>
    </row>
    <row r="741" ht="19.5" customHeight="1">
      <c r="N741" s="190"/>
    </row>
    <row r="742" ht="19.5" customHeight="1">
      <c r="N742" s="190"/>
    </row>
    <row r="743" ht="19.5" customHeight="1">
      <c r="N743" s="190"/>
    </row>
    <row r="744" ht="19.5" customHeight="1">
      <c r="N744" s="190"/>
    </row>
    <row r="745" ht="19.5" customHeight="1">
      <c r="N745" s="190"/>
    </row>
    <row r="746" ht="19.5" customHeight="1">
      <c r="N746" s="190"/>
    </row>
    <row r="747" ht="19.5" customHeight="1">
      <c r="N747" s="190"/>
    </row>
    <row r="748" ht="19.5" customHeight="1">
      <c r="N748" s="190"/>
    </row>
    <row r="749" ht="19.5" customHeight="1">
      <c r="N749" s="190"/>
    </row>
    <row r="750" ht="19.5" customHeight="1">
      <c r="N750" s="190"/>
    </row>
    <row r="751" ht="19.5" customHeight="1">
      <c r="N751" s="190"/>
    </row>
    <row r="752" ht="19.5" customHeight="1">
      <c r="N752" s="190"/>
    </row>
    <row r="753" ht="19.5" customHeight="1">
      <c r="N753" s="190"/>
    </row>
    <row r="754" ht="19.5" customHeight="1">
      <c r="N754" s="190"/>
    </row>
    <row r="755" ht="19.5" customHeight="1">
      <c r="N755" s="190"/>
    </row>
    <row r="756" ht="19.5" customHeight="1">
      <c r="N756" s="190"/>
    </row>
    <row r="757" ht="19.5" customHeight="1">
      <c r="N757" s="190"/>
    </row>
    <row r="758" ht="19.5" customHeight="1">
      <c r="N758" s="190"/>
    </row>
    <row r="759" ht="19.5" customHeight="1">
      <c r="N759" s="190"/>
    </row>
    <row r="760" ht="19.5" customHeight="1">
      <c r="N760" s="190"/>
    </row>
    <row r="761" ht="19.5" customHeight="1">
      <c r="N761" s="190"/>
    </row>
    <row r="762" ht="19.5" customHeight="1">
      <c r="N762" s="190"/>
    </row>
    <row r="763" ht="19.5" customHeight="1">
      <c r="N763" s="190"/>
    </row>
    <row r="764" ht="19.5" customHeight="1">
      <c r="N764" s="190"/>
    </row>
    <row r="765" ht="19.5" customHeight="1">
      <c r="N765" s="190"/>
    </row>
    <row r="766" ht="19.5" customHeight="1">
      <c r="N766" s="190"/>
    </row>
    <row r="767" ht="19.5" customHeight="1">
      <c r="N767" s="190"/>
    </row>
    <row r="768" ht="19.5" customHeight="1">
      <c r="N768" s="190"/>
    </row>
    <row r="769" ht="19.5" customHeight="1">
      <c r="N769" s="190"/>
    </row>
    <row r="770" ht="19.5" customHeight="1">
      <c r="N770" s="190"/>
    </row>
    <row r="771" ht="19.5" customHeight="1">
      <c r="N771" s="190"/>
    </row>
    <row r="772" ht="19.5" customHeight="1">
      <c r="N772" s="190"/>
    </row>
    <row r="773" ht="19.5" customHeight="1">
      <c r="N773" s="190"/>
    </row>
    <row r="774" ht="19.5" customHeight="1">
      <c r="N774" s="190"/>
    </row>
    <row r="775" ht="19.5" customHeight="1">
      <c r="N775" s="190"/>
    </row>
    <row r="776" ht="19.5" customHeight="1">
      <c r="N776" s="190"/>
    </row>
    <row r="777" ht="19.5" customHeight="1">
      <c r="N777" s="190"/>
    </row>
    <row r="778" ht="19.5" customHeight="1">
      <c r="N778" s="190"/>
    </row>
    <row r="779" ht="19.5" customHeight="1">
      <c r="N779" s="190"/>
    </row>
    <row r="780" ht="19.5" customHeight="1">
      <c r="N780" s="190"/>
    </row>
    <row r="781" ht="19.5" customHeight="1">
      <c r="N781" s="190"/>
    </row>
    <row r="782" ht="19.5" customHeight="1">
      <c r="N782" s="190"/>
    </row>
    <row r="783" ht="19.5" customHeight="1">
      <c r="N783" s="190"/>
    </row>
    <row r="784" ht="19.5" customHeight="1">
      <c r="N784" s="190"/>
    </row>
    <row r="785" ht="19.5" customHeight="1">
      <c r="N785" s="190"/>
    </row>
    <row r="786" ht="19.5" customHeight="1">
      <c r="N786" s="190"/>
    </row>
    <row r="787" ht="19.5" customHeight="1">
      <c r="N787" s="190"/>
    </row>
    <row r="788" ht="19.5" customHeight="1">
      <c r="N788" s="190"/>
    </row>
    <row r="789" ht="19.5" customHeight="1">
      <c r="N789" s="190"/>
    </row>
    <row r="790" ht="19.5" customHeight="1">
      <c r="N790" s="190"/>
    </row>
    <row r="791" ht="19.5" customHeight="1">
      <c r="N791" s="190"/>
    </row>
    <row r="792" ht="19.5" customHeight="1">
      <c r="N792" s="190"/>
    </row>
    <row r="793" ht="19.5" customHeight="1">
      <c r="N793" s="190"/>
    </row>
    <row r="794" ht="19.5" customHeight="1">
      <c r="N794" s="190"/>
    </row>
    <row r="795" ht="19.5" customHeight="1">
      <c r="N795" s="190"/>
    </row>
    <row r="796" ht="19.5" customHeight="1">
      <c r="N796" s="190"/>
    </row>
    <row r="797" ht="19.5" customHeight="1">
      <c r="N797" s="190"/>
    </row>
    <row r="798" ht="19.5" customHeight="1">
      <c r="N798" s="190"/>
    </row>
    <row r="799" ht="19.5" customHeight="1">
      <c r="N799" s="190"/>
    </row>
    <row r="800" ht="19.5" customHeight="1">
      <c r="N800" s="190"/>
    </row>
    <row r="801" ht="19.5" customHeight="1">
      <c r="N801" s="190"/>
    </row>
    <row r="802" ht="19.5" customHeight="1">
      <c r="N802" s="190"/>
    </row>
    <row r="803" ht="19.5" customHeight="1">
      <c r="N803" s="190"/>
    </row>
    <row r="804" ht="19.5" customHeight="1">
      <c r="N804" s="190"/>
    </row>
    <row r="805" ht="19.5" customHeight="1">
      <c r="N805" s="190"/>
    </row>
    <row r="806" ht="19.5" customHeight="1">
      <c r="N806" s="190"/>
    </row>
    <row r="807" ht="19.5" customHeight="1">
      <c r="N807" s="190"/>
    </row>
    <row r="808" ht="19.5" customHeight="1">
      <c r="N808" s="190"/>
    </row>
    <row r="809" ht="19.5" customHeight="1">
      <c r="N809" s="190"/>
    </row>
    <row r="810" ht="19.5" customHeight="1">
      <c r="N810" s="190"/>
    </row>
    <row r="811" ht="19.5" customHeight="1">
      <c r="N811" s="190"/>
    </row>
    <row r="812" ht="19.5" customHeight="1">
      <c r="N812" s="190"/>
    </row>
    <row r="813" ht="19.5" customHeight="1">
      <c r="N813" s="190"/>
    </row>
    <row r="814" ht="19.5" customHeight="1">
      <c r="N814" s="190"/>
    </row>
    <row r="815" ht="19.5" customHeight="1">
      <c r="N815" s="190"/>
    </row>
    <row r="816" ht="19.5" customHeight="1">
      <c r="N816" s="190"/>
    </row>
    <row r="817" ht="19.5" customHeight="1">
      <c r="N817" s="190"/>
    </row>
    <row r="818" ht="19.5" customHeight="1">
      <c r="N818" s="190"/>
    </row>
    <row r="819" ht="19.5" customHeight="1">
      <c r="N819" s="190"/>
    </row>
    <row r="820" ht="19.5" customHeight="1">
      <c r="N820" s="190"/>
    </row>
    <row r="821" ht="19.5" customHeight="1">
      <c r="N821" s="190"/>
    </row>
    <row r="822" ht="19.5" customHeight="1">
      <c r="N822" s="190"/>
    </row>
    <row r="823" ht="19.5" customHeight="1">
      <c r="N823" s="190"/>
    </row>
    <row r="824" ht="19.5" customHeight="1">
      <c r="N824" s="190"/>
    </row>
    <row r="825" ht="19.5" customHeight="1">
      <c r="N825" s="190"/>
    </row>
    <row r="826" ht="19.5" customHeight="1">
      <c r="N826" s="190"/>
    </row>
    <row r="827" ht="19.5" customHeight="1">
      <c r="N827" s="190"/>
    </row>
    <row r="828" ht="19.5" customHeight="1">
      <c r="N828" s="190"/>
    </row>
    <row r="829" ht="19.5" customHeight="1">
      <c r="N829" s="190"/>
    </row>
    <row r="830" ht="19.5" customHeight="1">
      <c r="N830" s="190"/>
    </row>
    <row r="831" ht="19.5" customHeight="1">
      <c r="N831" s="190"/>
    </row>
    <row r="832" ht="19.5" customHeight="1">
      <c r="N832" s="190"/>
    </row>
    <row r="833" ht="19.5" customHeight="1">
      <c r="N833" s="190"/>
    </row>
    <row r="834" ht="19.5" customHeight="1">
      <c r="N834" s="190"/>
    </row>
    <row r="835" ht="19.5" customHeight="1">
      <c r="N835" s="190"/>
    </row>
    <row r="836" ht="19.5" customHeight="1">
      <c r="N836" s="190"/>
    </row>
    <row r="837" ht="19.5" customHeight="1">
      <c r="N837" s="190"/>
    </row>
    <row r="838" ht="19.5" customHeight="1">
      <c r="N838" s="190"/>
    </row>
    <row r="839" ht="19.5" customHeight="1">
      <c r="N839" s="190"/>
    </row>
    <row r="840" ht="19.5" customHeight="1">
      <c r="N840" s="190"/>
    </row>
    <row r="841" ht="19.5" customHeight="1">
      <c r="N841" s="190"/>
    </row>
    <row r="842" ht="19.5" customHeight="1">
      <c r="N842" s="190"/>
    </row>
    <row r="843" ht="19.5" customHeight="1">
      <c r="N843" s="190"/>
    </row>
    <row r="844" ht="19.5" customHeight="1">
      <c r="N844" s="190"/>
    </row>
    <row r="845" ht="19.5" customHeight="1">
      <c r="N845" s="190"/>
    </row>
    <row r="846" ht="19.5" customHeight="1">
      <c r="N846" s="190"/>
    </row>
    <row r="847" ht="19.5" customHeight="1">
      <c r="N847" s="190"/>
    </row>
    <row r="848" ht="19.5" customHeight="1">
      <c r="N848" s="190"/>
    </row>
    <row r="849" ht="19.5" customHeight="1">
      <c r="N849" s="190"/>
    </row>
    <row r="850" ht="19.5" customHeight="1">
      <c r="N850" s="190"/>
    </row>
    <row r="851" ht="19.5" customHeight="1">
      <c r="N851" s="190"/>
    </row>
    <row r="852" ht="19.5" customHeight="1">
      <c r="N852" s="190"/>
    </row>
    <row r="853" ht="19.5" customHeight="1">
      <c r="N853" s="190"/>
    </row>
    <row r="854" ht="19.5" customHeight="1">
      <c r="N854" s="190"/>
    </row>
    <row r="855" ht="19.5" customHeight="1">
      <c r="N855" s="190"/>
    </row>
    <row r="856" ht="19.5" customHeight="1">
      <c r="N856" s="190"/>
    </row>
    <row r="857" ht="19.5" customHeight="1">
      <c r="N857" s="190"/>
    </row>
    <row r="858" ht="19.5" customHeight="1">
      <c r="N858" s="190"/>
    </row>
    <row r="859" ht="19.5" customHeight="1">
      <c r="N859" s="190"/>
    </row>
    <row r="860" ht="19.5" customHeight="1">
      <c r="N860" s="190"/>
    </row>
    <row r="861" ht="19.5" customHeight="1">
      <c r="N861" s="190"/>
    </row>
    <row r="862" ht="19.5" customHeight="1">
      <c r="N862" s="190"/>
    </row>
    <row r="863" ht="19.5" customHeight="1">
      <c r="N863" s="190"/>
    </row>
    <row r="864" ht="19.5" customHeight="1">
      <c r="N864" s="190"/>
    </row>
    <row r="865" ht="19.5" customHeight="1">
      <c r="N865" s="190"/>
    </row>
    <row r="866" ht="19.5" customHeight="1">
      <c r="N866" s="190"/>
    </row>
    <row r="867" ht="19.5" customHeight="1">
      <c r="N867" s="190"/>
    </row>
    <row r="868" ht="19.5" customHeight="1">
      <c r="N868" s="190"/>
    </row>
    <row r="869" ht="19.5" customHeight="1">
      <c r="N869" s="190"/>
    </row>
    <row r="870" ht="19.5" customHeight="1">
      <c r="N870" s="190"/>
    </row>
    <row r="871" ht="19.5" customHeight="1">
      <c r="N871" s="190"/>
    </row>
    <row r="872" ht="19.5" customHeight="1">
      <c r="N872" s="190"/>
    </row>
    <row r="873" ht="19.5" customHeight="1">
      <c r="N873" s="190"/>
    </row>
    <row r="874" ht="19.5" customHeight="1">
      <c r="N874" s="190"/>
    </row>
    <row r="875" ht="19.5" customHeight="1">
      <c r="N875" s="190"/>
    </row>
    <row r="876" ht="19.5" customHeight="1">
      <c r="N876" s="190"/>
    </row>
    <row r="877" ht="19.5" customHeight="1">
      <c r="N877" s="190"/>
    </row>
    <row r="878" ht="19.5" customHeight="1">
      <c r="N878" s="190"/>
    </row>
    <row r="879" ht="19.5" customHeight="1">
      <c r="N879" s="190"/>
    </row>
    <row r="880" ht="19.5" customHeight="1">
      <c r="N880" s="190"/>
    </row>
    <row r="881" ht="19.5" customHeight="1">
      <c r="N881" s="190"/>
    </row>
    <row r="882" ht="19.5" customHeight="1">
      <c r="N882" s="190"/>
    </row>
    <row r="883" ht="19.5" customHeight="1">
      <c r="N883" s="190"/>
    </row>
    <row r="884" ht="19.5" customHeight="1">
      <c r="N884" s="190"/>
    </row>
    <row r="885" ht="19.5" customHeight="1">
      <c r="N885" s="190"/>
    </row>
    <row r="886" ht="19.5" customHeight="1">
      <c r="N886" s="190"/>
    </row>
    <row r="887" ht="19.5" customHeight="1">
      <c r="N887" s="190"/>
    </row>
    <row r="888" ht="19.5" customHeight="1">
      <c r="N888" s="190"/>
    </row>
    <row r="889" ht="19.5" customHeight="1">
      <c r="N889" s="190"/>
    </row>
    <row r="890" ht="19.5" customHeight="1">
      <c r="N890" s="190"/>
    </row>
    <row r="891" ht="19.5" customHeight="1">
      <c r="N891" s="190"/>
    </row>
    <row r="892" ht="19.5" customHeight="1">
      <c r="N892" s="190"/>
    </row>
    <row r="893" ht="19.5" customHeight="1">
      <c r="N893" s="190"/>
    </row>
    <row r="894" ht="19.5" customHeight="1">
      <c r="N894" s="190"/>
    </row>
    <row r="895" ht="19.5" customHeight="1">
      <c r="N895" s="190"/>
    </row>
    <row r="896" ht="19.5" customHeight="1">
      <c r="N896" s="190"/>
    </row>
    <row r="897" ht="19.5" customHeight="1">
      <c r="N897" s="190"/>
    </row>
    <row r="898" ht="19.5" customHeight="1">
      <c r="N898" s="190"/>
    </row>
    <row r="899" ht="19.5" customHeight="1">
      <c r="N899" s="190"/>
    </row>
    <row r="900" ht="19.5" customHeight="1">
      <c r="N900" s="190"/>
    </row>
    <row r="901" ht="19.5" customHeight="1">
      <c r="N901" s="190"/>
    </row>
    <row r="902" ht="19.5" customHeight="1">
      <c r="N902" s="190"/>
    </row>
    <row r="903" ht="19.5" customHeight="1">
      <c r="N903" s="190"/>
    </row>
    <row r="904" ht="19.5" customHeight="1">
      <c r="N904" s="190"/>
    </row>
    <row r="905" ht="19.5" customHeight="1">
      <c r="N905" s="190"/>
    </row>
    <row r="906" ht="19.5" customHeight="1">
      <c r="N906" s="190"/>
    </row>
    <row r="907" ht="19.5" customHeight="1">
      <c r="N907" s="190"/>
    </row>
    <row r="908" ht="19.5" customHeight="1">
      <c r="N908" s="190"/>
    </row>
    <row r="909" ht="19.5" customHeight="1">
      <c r="N909" s="190"/>
    </row>
    <row r="910" ht="19.5" customHeight="1">
      <c r="N910" s="190"/>
    </row>
    <row r="911" ht="19.5" customHeight="1">
      <c r="N911" s="190"/>
    </row>
    <row r="912" ht="19.5" customHeight="1">
      <c r="N912" s="190"/>
    </row>
    <row r="913" ht="19.5" customHeight="1">
      <c r="N913" s="190"/>
    </row>
    <row r="914" ht="19.5" customHeight="1">
      <c r="N914" s="190"/>
    </row>
    <row r="915" ht="19.5" customHeight="1">
      <c r="N915" s="190"/>
    </row>
    <row r="916" ht="19.5" customHeight="1">
      <c r="N916" s="190"/>
    </row>
    <row r="917" ht="19.5" customHeight="1">
      <c r="N917" s="190"/>
    </row>
    <row r="918" ht="19.5" customHeight="1">
      <c r="N918" s="190"/>
    </row>
    <row r="919" ht="19.5" customHeight="1">
      <c r="N919" s="190"/>
    </row>
    <row r="920" ht="19.5" customHeight="1">
      <c r="N920" s="190"/>
    </row>
    <row r="921" ht="19.5" customHeight="1">
      <c r="N921" s="190"/>
    </row>
    <row r="922" ht="19.5" customHeight="1">
      <c r="N922" s="190"/>
    </row>
    <row r="923" ht="19.5" customHeight="1">
      <c r="N923" s="190"/>
    </row>
    <row r="924" ht="19.5" customHeight="1">
      <c r="N924" s="190"/>
    </row>
    <row r="925" ht="19.5" customHeight="1">
      <c r="N925" s="190"/>
    </row>
    <row r="926" ht="19.5" customHeight="1">
      <c r="N926" s="190"/>
    </row>
    <row r="927" ht="19.5" customHeight="1">
      <c r="N927" s="190"/>
    </row>
    <row r="928" ht="19.5" customHeight="1">
      <c r="N928" s="190"/>
    </row>
    <row r="929" ht="19.5" customHeight="1">
      <c r="N929" s="190"/>
    </row>
    <row r="930" ht="19.5" customHeight="1">
      <c r="N930" s="190"/>
    </row>
    <row r="931" ht="19.5" customHeight="1">
      <c r="N931" s="190"/>
    </row>
    <row r="932" ht="19.5" customHeight="1">
      <c r="N932" s="190"/>
    </row>
    <row r="933" ht="19.5" customHeight="1">
      <c r="N933" s="190"/>
    </row>
    <row r="934" ht="19.5" customHeight="1">
      <c r="N934" s="190"/>
    </row>
    <row r="935" ht="19.5" customHeight="1">
      <c r="N935" s="190"/>
    </row>
    <row r="936" ht="19.5" customHeight="1">
      <c r="N936" s="190"/>
    </row>
    <row r="937" ht="19.5" customHeight="1">
      <c r="N937" s="190"/>
    </row>
    <row r="938" ht="19.5" customHeight="1">
      <c r="N938" s="190"/>
    </row>
    <row r="939" ht="19.5" customHeight="1">
      <c r="N939" s="190"/>
    </row>
    <row r="940" ht="19.5" customHeight="1">
      <c r="N940" s="190"/>
    </row>
    <row r="941" ht="19.5" customHeight="1">
      <c r="N941" s="190"/>
    </row>
    <row r="942" ht="19.5" customHeight="1">
      <c r="N942" s="190"/>
    </row>
    <row r="943" ht="19.5" customHeight="1">
      <c r="N943" s="190"/>
    </row>
    <row r="944" ht="19.5" customHeight="1">
      <c r="N944" s="190"/>
    </row>
    <row r="945" ht="19.5" customHeight="1">
      <c r="N945" s="190"/>
    </row>
    <row r="946" ht="19.5" customHeight="1">
      <c r="N946" s="190"/>
    </row>
    <row r="947" ht="19.5" customHeight="1">
      <c r="N947" s="190"/>
    </row>
    <row r="948" ht="19.5" customHeight="1">
      <c r="N948" s="190"/>
    </row>
    <row r="949" ht="19.5" customHeight="1">
      <c r="N949" s="190"/>
    </row>
    <row r="950" ht="19.5" customHeight="1">
      <c r="N950" s="190"/>
    </row>
    <row r="951" ht="19.5" customHeight="1">
      <c r="N951" s="190"/>
    </row>
    <row r="952" ht="19.5" customHeight="1">
      <c r="N952" s="190"/>
    </row>
    <row r="953" ht="19.5" customHeight="1">
      <c r="N953" s="190"/>
    </row>
    <row r="954" ht="19.5" customHeight="1">
      <c r="N954" s="190"/>
    </row>
    <row r="955" ht="19.5" customHeight="1">
      <c r="N955" s="190"/>
    </row>
    <row r="956" ht="19.5" customHeight="1">
      <c r="N956" s="190"/>
    </row>
    <row r="957" ht="19.5" customHeight="1">
      <c r="N957" s="190"/>
    </row>
    <row r="958" ht="19.5" customHeight="1">
      <c r="N958" s="190"/>
    </row>
    <row r="959" ht="19.5" customHeight="1">
      <c r="N959" s="190"/>
    </row>
    <row r="960" ht="19.5" customHeight="1">
      <c r="N960" s="190"/>
    </row>
    <row r="961" ht="19.5" customHeight="1">
      <c r="N961" s="190"/>
    </row>
    <row r="962" ht="19.5" customHeight="1">
      <c r="N962" s="190"/>
    </row>
    <row r="963" ht="19.5" customHeight="1">
      <c r="N963" s="190"/>
    </row>
    <row r="964" ht="19.5" customHeight="1">
      <c r="N964" s="190"/>
    </row>
    <row r="965" ht="19.5" customHeight="1">
      <c r="N965" s="190"/>
    </row>
    <row r="966" ht="19.5" customHeight="1">
      <c r="N966" s="190"/>
    </row>
    <row r="967" ht="19.5" customHeight="1">
      <c r="N967" s="190"/>
    </row>
    <row r="968" ht="19.5" customHeight="1">
      <c r="N968" s="190"/>
    </row>
    <row r="969" ht="19.5" customHeight="1">
      <c r="N969" s="190"/>
    </row>
    <row r="970" ht="19.5" customHeight="1">
      <c r="N970" s="190"/>
    </row>
    <row r="971" ht="19.5" customHeight="1">
      <c r="N971" s="190"/>
    </row>
    <row r="972" ht="19.5" customHeight="1">
      <c r="N972" s="190"/>
    </row>
    <row r="973" ht="19.5" customHeight="1">
      <c r="N973" s="190"/>
    </row>
    <row r="974" ht="19.5" customHeight="1">
      <c r="N974" s="190"/>
    </row>
    <row r="975" ht="19.5" customHeight="1">
      <c r="N975" s="190"/>
    </row>
    <row r="976" ht="19.5" customHeight="1">
      <c r="N976" s="190"/>
    </row>
    <row r="977" ht="19.5" customHeight="1">
      <c r="N977" s="190"/>
    </row>
    <row r="978" ht="19.5" customHeight="1">
      <c r="N978" s="190"/>
    </row>
    <row r="979" ht="19.5" customHeight="1">
      <c r="N979" s="190"/>
    </row>
    <row r="980" ht="19.5" customHeight="1">
      <c r="N980" s="190"/>
    </row>
    <row r="981" ht="19.5" customHeight="1">
      <c r="N981" s="190"/>
    </row>
    <row r="982" ht="19.5" customHeight="1">
      <c r="N982" s="190"/>
    </row>
    <row r="983" ht="19.5" customHeight="1">
      <c r="N983" s="190"/>
    </row>
    <row r="984" ht="19.5" customHeight="1">
      <c r="N984" s="190"/>
    </row>
    <row r="985" ht="19.5" customHeight="1">
      <c r="N985" s="190"/>
    </row>
    <row r="986" ht="19.5" customHeight="1">
      <c r="N986" s="190"/>
    </row>
    <row r="987" ht="19.5" customHeight="1">
      <c r="N987" s="190"/>
    </row>
    <row r="988" ht="19.5" customHeight="1">
      <c r="N988" s="190"/>
    </row>
    <row r="989" ht="19.5" customHeight="1">
      <c r="N989" s="190"/>
    </row>
    <row r="990" ht="19.5" customHeight="1">
      <c r="N990" s="190"/>
    </row>
    <row r="991" ht="19.5" customHeight="1">
      <c r="N991" s="190"/>
    </row>
    <row r="992" ht="19.5" customHeight="1">
      <c r="N992" s="190"/>
    </row>
    <row r="993" ht="19.5" customHeight="1">
      <c r="N993" s="190"/>
    </row>
    <row r="994" ht="19.5" customHeight="1">
      <c r="N994" s="190"/>
    </row>
    <row r="995" ht="19.5" customHeight="1">
      <c r="N995" s="190"/>
    </row>
    <row r="996" ht="19.5" customHeight="1">
      <c r="N996" s="190"/>
    </row>
    <row r="997" ht="19.5" customHeight="1">
      <c r="N997" s="190"/>
    </row>
    <row r="998" ht="19.5" customHeight="1">
      <c r="N998" s="190"/>
    </row>
    <row r="999" ht="19.5" customHeight="1">
      <c r="N999" s="190"/>
    </row>
    <row r="1000" ht="19.5" customHeight="1">
      <c r="N1000" s="190"/>
    </row>
  </sheetData>
  <mergeCells count="18">
    <mergeCell ref="D7:F7"/>
    <mergeCell ref="C4:C6"/>
    <mergeCell ref="D3:F3"/>
    <mergeCell ref="K4:K6"/>
    <mergeCell ref="G4:G6"/>
    <mergeCell ref="F15:H15"/>
    <mergeCell ref="F14:H14"/>
    <mergeCell ref="C27:E27"/>
    <mergeCell ref="C30:E30"/>
    <mergeCell ref="C28:E28"/>
    <mergeCell ref="C24:E26"/>
    <mergeCell ref="G24:G26"/>
    <mergeCell ref="F24:F26"/>
    <mergeCell ref="F18:H18"/>
    <mergeCell ref="F17:H17"/>
    <mergeCell ref="F16:H16"/>
    <mergeCell ref="D11:F11"/>
    <mergeCell ref="I24:I2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A1" s="1" t="s">
        <v>66</v>
      </c>
      <c r="C1" t="s">
        <v>1</v>
      </c>
      <c r="M1" s="2" t="s">
        <v>2</v>
      </c>
      <c r="N1" s="14">
        <v>1800.0</v>
      </c>
    </row>
    <row r="2" ht="19.5" customHeight="1">
      <c r="B2" s="4" t="s">
        <v>3</v>
      </c>
      <c r="C2" s="6">
        <v>1.0</v>
      </c>
      <c r="D2" s="6">
        <v>2.0</v>
      </c>
      <c r="E2" s="6">
        <v>3.0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8" t="s">
        <v>9</v>
      </c>
      <c r="M2" s="9" t="s">
        <v>10</v>
      </c>
      <c r="N2" s="32">
        <v>38.0</v>
      </c>
    </row>
    <row r="3" ht="19.5" customHeight="1">
      <c r="A3" t="s">
        <v>11</v>
      </c>
      <c r="B3" s="13">
        <v>1.0</v>
      </c>
      <c r="C3" s="15"/>
      <c r="D3" s="18">
        <f>K3-sum(G3:J3)</f>
        <v>12.79036574</v>
      </c>
      <c r="E3" s="20"/>
      <c r="F3" s="22"/>
      <c r="G3" s="26">
        <f>(N17-(N15-(N16-N13)))</f>
        <v>146</v>
      </c>
      <c r="H3" s="36">
        <f>0/33*H11</f>
        <v>0</v>
      </c>
      <c r="I3" s="36">
        <f>1/19*I11</f>
        <v>0.6842105263</v>
      </c>
      <c r="J3" s="39">
        <f>3/59*J11</f>
        <v>1.525423729</v>
      </c>
      <c r="K3" s="26">
        <f>(N14-N12)+(N17-(N15-(N16-N13)))</f>
        <v>161</v>
      </c>
      <c r="M3" s="9" t="s">
        <v>16</v>
      </c>
      <c r="N3" s="32">
        <v>170.0</v>
      </c>
    </row>
    <row r="4" ht="19.5" customHeight="1">
      <c r="B4" s="13">
        <v>2.0</v>
      </c>
      <c r="C4" s="43">
        <f>C11-sum(C7:C10)</f>
        <v>5.125</v>
      </c>
      <c r="D4" s="45"/>
      <c r="E4" s="45"/>
      <c r="F4" s="47"/>
      <c r="G4" s="49">
        <f>G11-G3-sum(G8:G10)</f>
        <v>114.7946429</v>
      </c>
      <c r="H4" s="36">
        <f>17/33*H11</f>
        <v>27.3030303</v>
      </c>
      <c r="I4" s="36">
        <f>9/19*I11</f>
        <v>6.157894737</v>
      </c>
      <c r="J4" s="39">
        <f>14/59*J11</f>
        <v>7.118644068</v>
      </c>
      <c r="K4" s="52">
        <f>sum(C4:J6)</f>
        <v>180.0427743</v>
      </c>
      <c r="M4" s="9" t="s">
        <v>17</v>
      </c>
      <c r="N4" s="32">
        <v>68.0</v>
      </c>
    </row>
    <row r="5" ht="19.5" customHeight="1">
      <c r="B5" s="13">
        <v>3.0</v>
      </c>
      <c r="C5" s="54"/>
      <c r="D5" s="55"/>
      <c r="E5" s="55">
        <v>0.0</v>
      </c>
      <c r="F5" s="55"/>
      <c r="G5" s="54"/>
      <c r="H5" s="36">
        <f>11/33*H11</f>
        <v>17.66666667</v>
      </c>
      <c r="I5" s="36">
        <f>2/19*I11</f>
        <v>1.368421053</v>
      </c>
      <c r="J5" s="39">
        <f>1/59*J11</f>
        <v>0.5084745763</v>
      </c>
      <c r="K5" s="54"/>
      <c r="M5" s="9" t="s">
        <v>18</v>
      </c>
      <c r="N5" s="32">
        <v>40.0</v>
      </c>
    </row>
    <row r="6" ht="19.5" customHeight="1">
      <c r="B6" s="13" t="s">
        <v>4</v>
      </c>
      <c r="C6" s="22"/>
      <c r="D6" s="47"/>
      <c r="E6" s="45"/>
      <c r="F6" s="45"/>
      <c r="G6" s="22"/>
      <c r="H6" s="36">
        <f>0/33*H11</f>
        <v>0</v>
      </c>
      <c r="I6" s="36">
        <f>0/19*I11</f>
        <v>0</v>
      </c>
      <c r="J6" s="39">
        <f>0/59*J11</f>
        <v>0</v>
      </c>
      <c r="K6" s="22"/>
      <c r="M6" s="9" t="s">
        <v>19</v>
      </c>
      <c r="N6" s="32">
        <v>31.0</v>
      </c>
    </row>
    <row r="7" ht="19.5" customHeight="1">
      <c r="B7" s="13" t="s">
        <v>5</v>
      </c>
      <c r="C7" s="60">
        <f>N13</f>
        <v>11</v>
      </c>
      <c r="D7" s="18">
        <f>K7-C7-sum(H7:J7)</f>
        <v>32.66780202</v>
      </c>
      <c r="E7" s="20"/>
      <c r="F7" s="22"/>
      <c r="G7" s="15"/>
      <c r="H7" s="36">
        <f>1/33*H11</f>
        <v>1.606060606</v>
      </c>
      <c r="I7" s="36">
        <f>5/19*I11</f>
        <v>3.421052632</v>
      </c>
      <c r="J7" s="39">
        <f>36/59*J11</f>
        <v>18.30508475</v>
      </c>
      <c r="K7" s="60">
        <f>N12+N13</f>
        <v>67</v>
      </c>
      <c r="M7" s="9" t="s">
        <v>20</v>
      </c>
      <c r="N7" s="32">
        <v>55.0</v>
      </c>
    </row>
    <row r="8" ht="19.5" customHeight="1">
      <c r="B8" s="13" t="s">
        <v>6</v>
      </c>
      <c r="C8" s="36">
        <f>0/14*K8</f>
        <v>0</v>
      </c>
      <c r="D8" s="36">
        <f>4/14*K8</f>
        <v>2.571428571</v>
      </c>
      <c r="E8" s="36">
        <f>6/14*K8</f>
        <v>3.857142857</v>
      </c>
      <c r="F8" s="36">
        <f>0/14*K8</f>
        <v>0</v>
      </c>
      <c r="G8" s="36">
        <f>1/14*K8</f>
        <v>0.6428571429</v>
      </c>
      <c r="H8" s="15"/>
      <c r="I8" s="36">
        <f>1/14*K8</f>
        <v>0.6428571429</v>
      </c>
      <c r="J8" s="39">
        <f>2/14*K8</f>
        <v>1.285714286</v>
      </c>
      <c r="K8" s="66">
        <f>N8</f>
        <v>9</v>
      </c>
      <c r="M8" s="68" t="s">
        <v>21</v>
      </c>
      <c r="N8" s="32">
        <v>9.0</v>
      </c>
    </row>
    <row r="9" ht="19.5" customHeight="1">
      <c r="B9" s="13" t="s">
        <v>7</v>
      </c>
      <c r="C9" s="36">
        <f>0/12*K9</f>
        <v>0</v>
      </c>
      <c r="D9" s="36">
        <f>0/12*K9</f>
        <v>0</v>
      </c>
      <c r="E9" s="36">
        <f>3/12*K9</f>
        <v>5.25</v>
      </c>
      <c r="F9" s="36">
        <f>1/12*K9</f>
        <v>1.75</v>
      </c>
      <c r="G9" s="36">
        <f>4/12*K9</f>
        <v>7</v>
      </c>
      <c r="H9" s="36">
        <f>1/12*K9</f>
        <v>1.75</v>
      </c>
      <c r="I9" s="72"/>
      <c r="J9" s="39">
        <f>3/12*K9</f>
        <v>5.25</v>
      </c>
      <c r="K9" s="66">
        <f>N10</f>
        <v>21</v>
      </c>
      <c r="M9" s="68" t="s">
        <v>23</v>
      </c>
      <c r="N9" s="32">
        <v>53.0</v>
      </c>
    </row>
    <row r="10" ht="19.5" customHeight="1">
      <c r="B10" s="13" t="s">
        <v>8</v>
      </c>
      <c r="C10" s="74">
        <f>2/32*K10</f>
        <v>1.875</v>
      </c>
      <c r="D10" s="74">
        <f>3/32*K10</f>
        <v>2.8125</v>
      </c>
      <c r="E10" s="74">
        <f>0/32*K10</f>
        <v>0</v>
      </c>
      <c r="F10" s="74">
        <f>0/32*K10</f>
        <v>0</v>
      </c>
      <c r="G10" s="74">
        <f>23/32*K10</f>
        <v>21.5625</v>
      </c>
      <c r="H10" s="74">
        <f>3/32*K10</f>
        <v>2.8125</v>
      </c>
      <c r="I10" s="74">
        <f>1/32*K10</f>
        <v>0.9375</v>
      </c>
      <c r="J10" s="78"/>
      <c r="K10" s="66">
        <f>N18</f>
        <v>30</v>
      </c>
      <c r="M10" s="68" t="s">
        <v>25</v>
      </c>
      <c r="N10" s="70">
        <v>21.0</v>
      </c>
    </row>
    <row r="11" ht="19.5" customHeight="1">
      <c r="B11" s="79" t="s">
        <v>9</v>
      </c>
      <c r="C11" s="60">
        <f>N16</f>
        <v>18</v>
      </c>
      <c r="D11" s="81">
        <f>sum(D3:F10)</f>
        <v>61.69923919</v>
      </c>
      <c r="E11" s="20"/>
      <c r="F11" s="22"/>
      <c r="G11" s="60">
        <f>N17</f>
        <v>290</v>
      </c>
      <c r="H11" s="66">
        <f>N9</f>
        <v>53</v>
      </c>
      <c r="I11" s="66">
        <f>N11</f>
        <v>13</v>
      </c>
      <c r="J11" s="66">
        <f>N19</f>
        <v>30</v>
      </c>
      <c r="K11" s="83">
        <f>D14</f>
        <v>468.0427743</v>
      </c>
      <c r="M11" s="68" t="s">
        <v>26</v>
      </c>
      <c r="N11" s="70">
        <v>13.0</v>
      </c>
    </row>
    <row r="12" ht="19.5" customHeight="1">
      <c r="M12" s="9" t="s">
        <v>27</v>
      </c>
      <c r="N12" s="32">
        <v>56.0</v>
      </c>
    </row>
    <row r="13" ht="19.5" customHeight="1">
      <c r="I13" s="86"/>
      <c r="J13" s="86"/>
      <c r="M13" s="9" t="s">
        <v>28</v>
      </c>
      <c r="N13" s="32">
        <v>11.0</v>
      </c>
    </row>
    <row r="14" ht="19.5" customHeight="1">
      <c r="B14" s="87" t="s">
        <v>34</v>
      </c>
      <c r="C14" s="88"/>
      <c r="D14" s="90">
        <f>sum(K3:K10)</f>
        <v>468.0427743</v>
      </c>
      <c r="F14" s="57" t="s">
        <v>37</v>
      </c>
      <c r="G14" s="88"/>
      <c r="H14" s="88"/>
      <c r="I14" s="93">
        <f>sum(C3:F6)/D14</f>
        <v>0.03827719758</v>
      </c>
      <c r="J14" s="90">
        <f t="shared" ref="J14:J19" si="1">$D$14*I14</f>
        <v>17.91536574</v>
      </c>
      <c r="M14" s="9" t="s">
        <v>29</v>
      </c>
      <c r="N14" s="32">
        <v>71.0</v>
      </c>
    </row>
    <row r="15" ht="19.5" customHeight="1">
      <c r="B15" s="95"/>
      <c r="C15" s="20"/>
      <c r="D15" s="97"/>
      <c r="F15" s="9" t="s">
        <v>39</v>
      </c>
      <c r="I15" s="99">
        <f>sum(G7:J10)/D14</f>
        <v>0.1393379626</v>
      </c>
      <c r="J15" s="90">
        <f t="shared" si="1"/>
        <v>65.21612655</v>
      </c>
      <c r="M15" s="9" t="s">
        <v>30</v>
      </c>
      <c r="N15" s="32">
        <v>151.0</v>
      </c>
    </row>
    <row r="16" ht="19.5" customHeight="1">
      <c r="B16" s="9" t="s">
        <v>40</v>
      </c>
      <c r="D16" s="101">
        <f>(N12+N13+N15-N16)/(N12+N13+N15)</f>
        <v>0.9174311927</v>
      </c>
      <c r="E16" s="102"/>
      <c r="F16" s="103" t="s">
        <v>41</v>
      </c>
      <c r="G16" s="105"/>
      <c r="H16" s="105"/>
      <c r="I16" s="107">
        <f>I14+I15</f>
        <v>0.1776151601</v>
      </c>
      <c r="J16" s="90">
        <f t="shared" si="1"/>
        <v>83.1314923</v>
      </c>
      <c r="M16" s="9" t="s">
        <v>31</v>
      </c>
      <c r="N16" s="32">
        <v>18.0</v>
      </c>
    </row>
    <row r="17" ht="19.5" customHeight="1">
      <c r="B17" s="9" t="s">
        <v>42</v>
      </c>
      <c r="D17" s="101"/>
      <c r="F17" s="9" t="s">
        <v>43</v>
      </c>
      <c r="I17" s="99">
        <f>sum(C7:F10)/D14</f>
        <v>0.1320047586</v>
      </c>
      <c r="J17" s="90">
        <f t="shared" si="1"/>
        <v>61.78387345</v>
      </c>
      <c r="M17" s="9" t="s">
        <v>32</v>
      </c>
      <c r="N17" s="32">
        <v>290.0</v>
      </c>
    </row>
    <row r="18" ht="19.5" customHeight="1">
      <c r="B18" s="109" t="s">
        <v>45</v>
      </c>
      <c r="C18" s="20"/>
      <c r="D18" s="110"/>
      <c r="F18" s="9" t="s">
        <v>46</v>
      </c>
      <c r="I18" s="99">
        <f>sum(G3:J6)/D14</f>
        <v>0.6903800812</v>
      </c>
      <c r="J18" s="90">
        <f t="shared" si="1"/>
        <v>323.1274085</v>
      </c>
      <c r="M18" s="112" t="s">
        <v>33</v>
      </c>
      <c r="N18" s="32">
        <v>30.0</v>
      </c>
    </row>
    <row r="19" ht="19.5" customHeight="1">
      <c r="B19" s="109" t="s">
        <v>47</v>
      </c>
      <c r="C19" s="117"/>
      <c r="D19" s="215"/>
      <c r="F19" s="103" t="s">
        <v>48</v>
      </c>
      <c r="G19" s="121"/>
      <c r="H19" s="105"/>
      <c r="I19" s="107">
        <f>I17+I18</f>
        <v>0.8223848399</v>
      </c>
      <c r="J19" s="124">
        <f t="shared" si="1"/>
        <v>384.911282</v>
      </c>
      <c r="M19" s="112" t="s">
        <v>35</v>
      </c>
      <c r="N19" s="32">
        <v>30.0</v>
      </c>
    </row>
    <row r="20" ht="19.5" customHeight="1">
      <c r="F20" s="109" t="s">
        <v>50</v>
      </c>
      <c r="G20" s="117"/>
      <c r="H20" s="20"/>
      <c r="I20" s="127">
        <f>D14*(I17-I18)</f>
        <v>-261.3435351</v>
      </c>
      <c r="J20" s="97"/>
      <c r="M20" s="9" t="s">
        <v>36</v>
      </c>
      <c r="N20" s="32">
        <v>17.0</v>
      </c>
    </row>
    <row r="21" ht="19.5" customHeight="1">
      <c r="M21" s="9" t="s">
        <v>38</v>
      </c>
      <c r="N21" s="106">
        <v>35.0</v>
      </c>
    </row>
    <row r="22" ht="19.5" customHeight="1">
      <c r="B22" s="129"/>
      <c r="C22" s="129"/>
      <c r="D22" s="92"/>
      <c r="M22" s="109" t="s">
        <v>44</v>
      </c>
      <c r="N22" s="220"/>
    </row>
    <row r="23" ht="19.5" customHeight="1">
      <c r="B23" s="133">
        <v>1800.0</v>
      </c>
      <c r="C23" s="134">
        <v>2.0</v>
      </c>
      <c r="D23" s="134">
        <v>3.0</v>
      </c>
      <c r="E23" s="136" t="s">
        <v>4</v>
      </c>
      <c r="F23" s="136">
        <v>1.0</v>
      </c>
      <c r="G23" s="136" t="s">
        <v>5</v>
      </c>
      <c r="H23" s="136" t="s">
        <v>53</v>
      </c>
      <c r="I23" s="137" t="s">
        <v>9</v>
      </c>
      <c r="N23" s="138"/>
    </row>
    <row r="24" ht="19.5" customHeight="1">
      <c r="B24" s="140">
        <v>2.0</v>
      </c>
      <c r="C24" s="142">
        <v>0.0</v>
      </c>
      <c r="D24" s="29"/>
      <c r="E24" s="31"/>
      <c r="F24" s="144">
        <f t="shared" ref="F24:G24" si="2">F30-sum(F27:F29)</f>
        <v>5.125</v>
      </c>
      <c r="G24" s="144">
        <f t="shared" si="2"/>
        <v>114.7946429</v>
      </c>
      <c r="H24" s="148">
        <f t="shared" ref="H24:H26" si="3">sum(H4:J4)</f>
        <v>40.57956911</v>
      </c>
      <c r="I24" s="150">
        <f>sum(C24:H26)</f>
        <v>180.0427743</v>
      </c>
      <c r="M24" s="152" t="s">
        <v>54</v>
      </c>
      <c r="N24" s="221">
        <f>N2+N3</f>
        <v>208</v>
      </c>
    </row>
    <row r="25" ht="19.5" customHeight="1">
      <c r="B25" s="140">
        <v>3.0</v>
      </c>
      <c r="C25" s="64"/>
      <c r="E25" s="54"/>
      <c r="F25" s="157"/>
      <c r="G25" s="157"/>
      <c r="H25" s="159">
        <f t="shared" si="3"/>
        <v>19.5435623</v>
      </c>
      <c r="I25" s="54"/>
      <c r="M25" s="161" t="s">
        <v>55</v>
      </c>
      <c r="N25" s="38">
        <f>N4+N5</f>
        <v>108</v>
      </c>
    </row>
    <row r="26" ht="19.5" customHeight="1">
      <c r="B26" s="140" t="s">
        <v>4</v>
      </c>
      <c r="C26" s="65"/>
      <c r="D26" s="20"/>
      <c r="E26" s="22"/>
      <c r="F26" s="165"/>
      <c r="G26" s="165"/>
      <c r="H26" s="159">
        <f t="shared" si="3"/>
        <v>0</v>
      </c>
      <c r="I26" s="22"/>
      <c r="M26" s="161" t="s">
        <v>56</v>
      </c>
      <c r="N26" s="38">
        <f>N6+N7</f>
        <v>86</v>
      </c>
    </row>
    <row r="27" ht="19.5" customHeight="1">
      <c r="B27" s="166">
        <v>1.0</v>
      </c>
      <c r="C27" s="169">
        <f>I27-sum(G27:H27)</f>
        <v>12.79036574</v>
      </c>
      <c r="D27" s="105"/>
      <c r="E27" s="172"/>
      <c r="F27" s="174"/>
      <c r="G27" s="176">
        <f>(N17-(N15-(N16-N13)))</f>
        <v>146</v>
      </c>
      <c r="H27" s="159">
        <f>sum(H3:J3)</f>
        <v>2.209634255</v>
      </c>
      <c r="I27" s="177">
        <f>(N14-N12)+(N17-(N15-(N16-N13)))</f>
        <v>161</v>
      </c>
      <c r="M27" s="161" t="s">
        <v>57</v>
      </c>
      <c r="N27" s="38">
        <f>N8+N9</f>
        <v>62</v>
      </c>
    </row>
    <row r="28" ht="19.5" customHeight="1">
      <c r="B28" s="166" t="s">
        <v>5</v>
      </c>
      <c r="C28" s="169">
        <f>I28-sum(F28:H28)</f>
        <v>32.66780202</v>
      </c>
      <c r="D28" s="105"/>
      <c r="E28" s="172"/>
      <c r="F28" s="176">
        <f>N13</f>
        <v>11</v>
      </c>
      <c r="G28" s="174"/>
      <c r="H28" s="159">
        <f>sum(H7:J7)</f>
        <v>23.33219798</v>
      </c>
      <c r="I28" s="177">
        <f>N12+N13</f>
        <v>67</v>
      </c>
      <c r="M28" s="161" t="s">
        <v>58</v>
      </c>
      <c r="N28" s="38">
        <f>N10+N11</f>
        <v>34</v>
      </c>
    </row>
    <row r="29" ht="19.5" customHeight="1">
      <c r="B29" s="166" t="s">
        <v>53</v>
      </c>
      <c r="C29" s="179">
        <f t="shared" ref="C29:E29" si="4">sum(D8:D10)</f>
        <v>5.383928571</v>
      </c>
      <c r="D29" s="180">
        <f t="shared" si="4"/>
        <v>9.107142857</v>
      </c>
      <c r="E29" s="180">
        <f t="shared" si="4"/>
        <v>1.75</v>
      </c>
      <c r="F29" s="180">
        <f>sum(C8:C10)</f>
        <v>1.875</v>
      </c>
      <c r="G29" s="180">
        <f>sum(G8:G10)</f>
        <v>29.20535714</v>
      </c>
      <c r="H29" s="181">
        <f>sum(H8:J10)</f>
        <v>12.67857143</v>
      </c>
      <c r="I29" s="182">
        <f>sum(C29:H29)</f>
        <v>60</v>
      </c>
      <c r="M29" s="161" t="s">
        <v>59</v>
      </c>
      <c r="N29" s="38">
        <f>N18+N19</f>
        <v>60</v>
      </c>
    </row>
    <row r="30" ht="19.5" customHeight="1">
      <c r="B30" s="137" t="s">
        <v>9</v>
      </c>
      <c r="C30" s="183">
        <f>sum(C24:E29)</f>
        <v>61.69923919</v>
      </c>
      <c r="D30" s="20"/>
      <c r="E30" s="22"/>
      <c r="F30" s="97">
        <f>N16</f>
        <v>18</v>
      </c>
      <c r="G30" s="97">
        <f>N17</f>
        <v>290</v>
      </c>
      <c r="H30" s="127">
        <f>sum(H24:H29)</f>
        <v>98.34353507</v>
      </c>
      <c r="I30" s="184"/>
      <c r="M30" s="161" t="s">
        <v>60</v>
      </c>
      <c r="N30" s="38">
        <f>N14+N15</f>
        <v>222</v>
      </c>
    </row>
    <row r="31" ht="19.5" customHeight="1">
      <c r="M31" s="161" t="s">
        <v>61</v>
      </c>
      <c r="N31" s="38">
        <f>N12+N13+N17</f>
        <v>357</v>
      </c>
    </row>
    <row r="32" ht="19.5" customHeight="1">
      <c r="M32" s="185" t="s">
        <v>62</v>
      </c>
      <c r="N32" s="222">
        <f>N20+N21</f>
        <v>52</v>
      </c>
    </row>
    <row r="33" ht="19.5" customHeight="1">
      <c r="N33" s="138"/>
    </row>
    <row r="34" ht="19.5" customHeight="1">
      <c r="N34" s="138"/>
    </row>
    <row r="35" ht="19.5" customHeight="1">
      <c r="N35" s="138"/>
    </row>
    <row r="36" ht="19.5" customHeight="1">
      <c r="N36" s="138"/>
    </row>
    <row r="37" ht="19.5" customHeight="1">
      <c r="N37" s="138"/>
    </row>
    <row r="38" ht="19.5" customHeight="1">
      <c r="N38" s="138"/>
    </row>
    <row r="39" ht="19.5" customHeight="1">
      <c r="N39" s="138"/>
    </row>
    <row r="40" ht="19.5" customHeight="1">
      <c r="N40" s="138"/>
    </row>
    <row r="41" ht="19.5" customHeight="1">
      <c r="N41" s="138"/>
    </row>
    <row r="42" ht="19.5" customHeight="1">
      <c r="N42" s="138"/>
    </row>
    <row r="43" ht="19.5" customHeight="1">
      <c r="N43" s="138"/>
    </row>
    <row r="44" ht="19.5" customHeight="1">
      <c r="N44" s="138"/>
    </row>
    <row r="45" ht="19.5" customHeight="1">
      <c r="N45" s="138"/>
    </row>
    <row r="46" ht="19.5" customHeight="1">
      <c r="N46" s="138"/>
    </row>
    <row r="47" ht="19.5" customHeight="1">
      <c r="N47" s="138"/>
    </row>
    <row r="48" ht="19.5" customHeight="1">
      <c r="N48" s="138"/>
    </row>
    <row r="49" ht="19.5" customHeight="1">
      <c r="N49" s="190"/>
    </row>
    <row r="50" ht="19.5" customHeight="1">
      <c r="N50" s="190"/>
    </row>
    <row r="51" ht="19.5" customHeight="1">
      <c r="N51" s="190"/>
    </row>
    <row r="52" ht="19.5" customHeight="1">
      <c r="N52" s="190"/>
    </row>
    <row r="53" ht="19.5" customHeight="1">
      <c r="N53" s="190"/>
    </row>
    <row r="54" ht="19.5" customHeight="1">
      <c r="N54" s="190"/>
    </row>
    <row r="55" ht="19.5" customHeight="1">
      <c r="N55" s="190"/>
    </row>
    <row r="56" ht="19.5" customHeight="1">
      <c r="N56" s="190"/>
    </row>
    <row r="57" ht="19.5" customHeight="1">
      <c r="N57" s="190"/>
    </row>
    <row r="58" ht="19.5" customHeight="1">
      <c r="N58" s="190"/>
    </row>
    <row r="59" ht="19.5" customHeight="1">
      <c r="N59" s="190"/>
    </row>
    <row r="60" ht="19.5" customHeight="1">
      <c r="N60" s="190"/>
    </row>
    <row r="61" ht="19.5" customHeight="1">
      <c r="N61" s="190"/>
    </row>
    <row r="62" ht="19.5" customHeight="1">
      <c r="N62" s="190"/>
    </row>
    <row r="63" ht="19.5" customHeight="1">
      <c r="N63" s="190"/>
    </row>
    <row r="64" ht="19.5" customHeight="1">
      <c r="N64" s="190"/>
    </row>
    <row r="65" ht="19.5" customHeight="1">
      <c r="N65" s="190"/>
    </row>
    <row r="66" ht="19.5" customHeight="1">
      <c r="N66" s="190"/>
    </row>
    <row r="67" ht="19.5" customHeight="1">
      <c r="N67" s="190"/>
    </row>
    <row r="68" ht="19.5" customHeight="1">
      <c r="N68" s="190"/>
    </row>
    <row r="69" ht="19.5" customHeight="1">
      <c r="N69" s="190"/>
    </row>
    <row r="70" ht="19.5" customHeight="1">
      <c r="N70" s="190"/>
    </row>
    <row r="71" ht="19.5" customHeight="1">
      <c r="N71" s="190"/>
    </row>
    <row r="72" ht="19.5" customHeight="1">
      <c r="N72" s="190"/>
    </row>
    <row r="73" ht="19.5" customHeight="1">
      <c r="N73" s="190"/>
    </row>
    <row r="74" ht="19.5" customHeight="1">
      <c r="N74" s="190"/>
    </row>
    <row r="75" ht="19.5" customHeight="1">
      <c r="N75" s="190"/>
    </row>
    <row r="76" ht="19.5" customHeight="1">
      <c r="N76" s="190"/>
    </row>
    <row r="77" ht="19.5" customHeight="1">
      <c r="N77" s="190"/>
    </row>
    <row r="78" ht="19.5" customHeight="1">
      <c r="N78" s="190"/>
    </row>
    <row r="79" ht="19.5" customHeight="1">
      <c r="N79" s="190"/>
    </row>
    <row r="80" ht="19.5" customHeight="1">
      <c r="N80" s="190"/>
    </row>
    <row r="81" ht="19.5" customHeight="1">
      <c r="N81" s="190"/>
    </row>
    <row r="82" ht="19.5" customHeight="1">
      <c r="N82" s="190"/>
    </row>
    <row r="83" ht="19.5" customHeight="1">
      <c r="N83" s="190"/>
    </row>
    <row r="84" ht="19.5" customHeight="1">
      <c r="N84" s="190"/>
    </row>
    <row r="85" ht="19.5" customHeight="1">
      <c r="N85" s="190"/>
    </row>
    <row r="86" ht="19.5" customHeight="1">
      <c r="N86" s="190"/>
    </row>
    <row r="87" ht="19.5" customHeight="1">
      <c r="N87" s="190"/>
    </row>
    <row r="88" ht="19.5" customHeight="1">
      <c r="N88" s="190"/>
    </row>
    <row r="89" ht="19.5" customHeight="1">
      <c r="N89" s="190"/>
    </row>
    <row r="90" ht="19.5" customHeight="1">
      <c r="N90" s="190"/>
    </row>
    <row r="91" ht="19.5" customHeight="1">
      <c r="N91" s="190"/>
    </row>
    <row r="92" ht="19.5" customHeight="1">
      <c r="N92" s="190"/>
    </row>
    <row r="93" ht="19.5" customHeight="1">
      <c r="N93" s="190"/>
    </row>
    <row r="94" ht="19.5" customHeight="1">
      <c r="N94" s="190"/>
    </row>
    <row r="95" ht="19.5" customHeight="1">
      <c r="N95" s="190"/>
    </row>
    <row r="96" ht="19.5" customHeight="1">
      <c r="N96" s="190"/>
    </row>
    <row r="97" ht="19.5" customHeight="1">
      <c r="N97" s="190"/>
    </row>
    <row r="98" ht="19.5" customHeight="1">
      <c r="N98" s="190"/>
    </row>
    <row r="99" ht="19.5" customHeight="1">
      <c r="N99" s="190"/>
    </row>
    <row r="100" ht="19.5" customHeight="1">
      <c r="N100" s="190"/>
    </row>
    <row r="101" ht="19.5" customHeight="1">
      <c r="N101" s="190"/>
    </row>
    <row r="102" ht="19.5" customHeight="1">
      <c r="N102" s="190"/>
    </row>
    <row r="103" ht="19.5" customHeight="1">
      <c r="N103" s="190"/>
    </row>
    <row r="104" ht="19.5" customHeight="1">
      <c r="N104" s="190"/>
    </row>
    <row r="105" ht="19.5" customHeight="1">
      <c r="N105" s="190"/>
    </row>
    <row r="106" ht="19.5" customHeight="1">
      <c r="N106" s="190"/>
    </row>
    <row r="107" ht="19.5" customHeight="1">
      <c r="N107" s="190"/>
    </row>
    <row r="108" ht="19.5" customHeight="1">
      <c r="N108" s="190"/>
    </row>
    <row r="109" ht="19.5" customHeight="1">
      <c r="N109" s="190"/>
    </row>
    <row r="110" ht="19.5" customHeight="1">
      <c r="N110" s="190"/>
    </row>
    <row r="111" ht="19.5" customHeight="1">
      <c r="N111" s="190"/>
    </row>
    <row r="112" ht="19.5" customHeight="1">
      <c r="N112" s="190"/>
    </row>
    <row r="113" ht="19.5" customHeight="1">
      <c r="N113" s="190"/>
    </row>
    <row r="114" ht="19.5" customHeight="1">
      <c r="N114" s="190"/>
    </row>
    <row r="115" ht="19.5" customHeight="1">
      <c r="N115" s="190"/>
    </row>
    <row r="116" ht="19.5" customHeight="1">
      <c r="N116" s="190"/>
    </row>
    <row r="117" ht="19.5" customHeight="1">
      <c r="N117" s="190"/>
    </row>
    <row r="118" ht="19.5" customHeight="1">
      <c r="N118" s="190"/>
    </row>
    <row r="119" ht="19.5" customHeight="1">
      <c r="N119" s="190"/>
    </row>
    <row r="120" ht="19.5" customHeight="1">
      <c r="N120" s="190"/>
    </row>
    <row r="121" ht="19.5" customHeight="1">
      <c r="N121" s="190"/>
    </row>
    <row r="122" ht="19.5" customHeight="1">
      <c r="N122" s="190"/>
    </row>
    <row r="123" ht="19.5" customHeight="1">
      <c r="N123" s="190"/>
    </row>
    <row r="124" ht="19.5" customHeight="1">
      <c r="N124" s="190"/>
    </row>
    <row r="125" ht="19.5" customHeight="1">
      <c r="N125" s="190"/>
    </row>
    <row r="126" ht="19.5" customHeight="1">
      <c r="N126" s="190"/>
    </row>
    <row r="127" ht="19.5" customHeight="1">
      <c r="N127" s="190"/>
    </row>
    <row r="128" ht="19.5" customHeight="1">
      <c r="N128" s="190"/>
    </row>
    <row r="129" ht="19.5" customHeight="1">
      <c r="N129" s="190"/>
    </row>
    <row r="130" ht="19.5" customHeight="1">
      <c r="N130" s="190"/>
    </row>
    <row r="131" ht="19.5" customHeight="1">
      <c r="N131" s="190"/>
    </row>
    <row r="132" ht="19.5" customHeight="1">
      <c r="N132" s="190"/>
    </row>
    <row r="133" ht="19.5" customHeight="1">
      <c r="N133" s="190"/>
    </row>
    <row r="134" ht="19.5" customHeight="1">
      <c r="N134" s="190"/>
    </row>
    <row r="135" ht="19.5" customHeight="1">
      <c r="N135" s="190"/>
    </row>
    <row r="136" ht="19.5" customHeight="1">
      <c r="N136" s="190"/>
    </row>
    <row r="137" ht="19.5" customHeight="1">
      <c r="N137" s="190"/>
    </row>
    <row r="138" ht="19.5" customHeight="1">
      <c r="N138" s="190"/>
    </row>
    <row r="139" ht="19.5" customHeight="1">
      <c r="N139" s="190"/>
    </row>
    <row r="140" ht="19.5" customHeight="1">
      <c r="N140" s="190"/>
    </row>
    <row r="141" ht="19.5" customHeight="1">
      <c r="N141" s="190"/>
    </row>
    <row r="142" ht="19.5" customHeight="1">
      <c r="N142" s="190"/>
    </row>
    <row r="143" ht="19.5" customHeight="1">
      <c r="N143" s="190"/>
    </row>
    <row r="144" ht="19.5" customHeight="1">
      <c r="N144" s="190"/>
    </row>
    <row r="145" ht="19.5" customHeight="1">
      <c r="N145" s="190"/>
    </row>
    <row r="146" ht="19.5" customHeight="1">
      <c r="N146" s="190"/>
    </row>
    <row r="147" ht="19.5" customHeight="1">
      <c r="N147" s="190"/>
    </row>
    <row r="148" ht="19.5" customHeight="1">
      <c r="N148" s="190"/>
    </row>
    <row r="149" ht="19.5" customHeight="1">
      <c r="N149" s="190"/>
    </row>
    <row r="150" ht="19.5" customHeight="1">
      <c r="N150" s="190"/>
    </row>
    <row r="151" ht="19.5" customHeight="1">
      <c r="N151" s="190"/>
    </row>
    <row r="152" ht="19.5" customHeight="1">
      <c r="N152" s="190"/>
    </row>
    <row r="153" ht="19.5" customHeight="1">
      <c r="N153" s="190"/>
    </row>
    <row r="154" ht="19.5" customHeight="1">
      <c r="N154" s="190"/>
    </row>
    <row r="155" ht="19.5" customHeight="1">
      <c r="N155" s="190"/>
    </row>
    <row r="156" ht="19.5" customHeight="1">
      <c r="N156" s="190"/>
    </row>
    <row r="157" ht="19.5" customHeight="1">
      <c r="N157" s="190"/>
    </row>
    <row r="158" ht="19.5" customHeight="1">
      <c r="N158" s="190"/>
    </row>
    <row r="159" ht="19.5" customHeight="1">
      <c r="N159" s="190"/>
    </row>
    <row r="160" ht="19.5" customHeight="1">
      <c r="N160" s="190"/>
    </row>
    <row r="161" ht="19.5" customHeight="1">
      <c r="N161" s="190"/>
    </row>
    <row r="162" ht="19.5" customHeight="1">
      <c r="N162" s="190"/>
    </row>
    <row r="163" ht="19.5" customHeight="1">
      <c r="N163" s="190"/>
    </row>
    <row r="164" ht="19.5" customHeight="1">
      <c r="N164" s="190"/>
    </row>
    <row r="165" ht="19.5" customHeight="1">
      <c r="N165" s="190"/>
    </row>
    <row r="166" ht="19.5" customHeight="1">
      <c r="N166" s="190"/>
    </row>
    <row r="167" ht="19.5" customHeight="1">
      <c r="N167" s="190"/>
    </row>
    <row r="168" ht="19.5" customHeight="1">
      <c r="N168" s="190"/>
    </row>
    <row r="169" ht="19.5" customHeight="1">
      <c r="N169" s="190"/>
    </row>
    <row r="170" ht="19.5" customHeight="1">
      <c r="N170" s="190"/>
    </row>
    <row r="171" ht="19.5" customHeight="1">
      <c r="N171" s="190"/>
    </row>
    <row r="172" ht="19.5" customHeight="1">
      <c r="N172" s="190"/>
    </row>
    <row r="173" ht="19.5" customHeight="1">
      <c r="N173" s="190"/>
    </row>
    <row r="174" ht="19.5" customHeight="1">
      <c r="N174" s="190"/>
    </row>
    <row r="175" ht="19.5" customHeight="1">
      <c r="N175" s="190"/>
    </row>
    <row r="176" ht="19.5" customHeight="1">
      <c r="N176" s="190"/>
    </row>
    <row r="177" ht="19.5" customHeight="1">
      <c r="N177" s="190"/>
    </row>
    <row r="178" ht="19.5" customHeight="1">
      <c r="N178" s="190"/>
    </row>
    <row r="179" ht="19.5" customHeight="1">
      <c r="N179" s="190"/>
    </row>
    <row r="180" ht="19.5" customHeight="1">
      <c r="N180" s="190"/>
    </row>
    <row r="181" ht="19.5" customHeight="1">
      <c r="N181" s="190"/>
    </row>
    <row r="182" ht="19.5" customHeight="1">
      <c r="N182" s="190"/>
    </row>
    <row r="183" ht="19.5" customHeight="1">
      <c r="N183" s="190"/>
    </row>
    <row r="184" ht="19.5" customHeight="1">
      <c r="N184" s="190"/>
    </row>
    <row r="185" ht="19.5" customHeight="1">
      <c r="N185" s="190"/>
    </row>
    <row r="186" ht="19.5" customHeight="1">
      <c r="N186" s="190"/>
    </row>
    <row r="187" ht="19.5" customHeight="1">
      <c r="N187" s="190"/>
    </row>
    <row r="188" ht="19.5" customHeight="1">
      <c r="N188" s="190"/>
    </row>
    <row r="189" ht="19.5" customHeight="1">
      <c r="N189" s="190"/>
    </row>
    <row r="190" ht="19.5" customHeight="1">
      <c r="N190" s="190"/>
    </row>
    <row r="191" ht="19.5" customHeight="1">
      <c r="N191" s="190"/>
    </row>
    <row r="192" ht="19.5" customHeight="1">
      <c r="N192" s="190"/>
    </row>
    <row r="193" ht="19.5" customHeight="1">
      <c r="N193" s="190"/>
    </row>
    <row r="194" ht="19.5" customHeight="1">
      <c r="N194" s="190"/>
    </row>
    <row r="195" ht="19.5" customHeight="1">
      <c r="N195" s="190"/>
    </row>
    <row r="196" ht="19.5" customHeight="1">
      <c r="N196" s="190"/>
    </row>
    <row r="197" ht="19.5" customHeight="1">
      <c r="N197" s="190"/>
    </row>
    <row r="198" ht="19.5" customHeight="1">
      <c r="N198" s="190"/>
    </row>
    <row r="199" ht="19.5" customHeight="1">
      <c r="N199" s="190"/>
    </row>
    <row r="200" ht="19.5" customHeight="1">
      <c r="N200" s="190"/>
    </row>
    <row r="201" ht="19.5" customHeight="1">
      <c r="N201" s="190"/>
    </row>
    <row r="202" ht="19.5" customHeight="1">
      <c r="N202" s="190"/>
    </row>
    <row r="203" ht="19.5" customHeight="1">
      <c r="N203" s="190"/>
    </row>
    <row r="204" ht="19.5" customHeight="1">
      <c r="N204" s="190"/>
    </row>
    <row r="205" ht="19.5" customHeight="1">
      <c r="N205" s="190"/>
    </row>
    <row r="206" ht="19.5" customHeight="1">
      <c r="N206" s="190"/>
    </row>
    <row r="207" ht="19.5" customHeight="1">
      <c r="N207" s="190"/>
    </row>
    <row r="208" ht="19.5" customHeight="1">
      <c r="N208" s="190"/>
    </row>
    <row r="209" ht="19.5" customHeight="1">
      <c r="N209" s="190"/>
    </row>
    <row r="210" ht="19.5" customHeight="1">
      <c r="N210" s="190"/>
    </row>
    <row r="211" ht="19.5" customHeight="1">
      <c r="N211" s="190"/>
    </row>
    <row r="212" ht="19.5" customHeight="1">
      <c r="N212" s="190"/>
    </row>
    <row r="213" ht="19.5" customHeight="1">
      <c r="N213" s="190"/>
    </row>
    <row r="214" ht="19.5" customHeight="1">
      <c r="N214" s="190"/>
    </row>
    <row r="215" ht="19.5" customHeight="1">
      <c r="N215" s="190"/>
    </row>
    <row r="216" ht="19.5" customHeight="1">
      <c r="N216" s="190"/>
    </row>
    <row r="217" ht="19.5" customHeight="1">
      <c r="N217" s="190"/>
    </row>
    <row r="218" ht="19.5" customHeight="1">
      <c r="N218" s="190"/>
    </row>
    <row r="219" ht="19.5" customHeight="1">
      <c r="N219" s="190"/>
    </row>
    <row r="220" ht="19.5" customHeight="1">
      <c r="N220" s="190"/>
    </row>
    <row r="221" ht="19.5" customHeight="1">
      <c r="N221" s="190"/>
    </row>
    <row r="222" ht="19.5" customHeight="1">
      <c r="N222" s="190"/>
    </row>
    <row r="223" ht="19.5" customHeight="1">
      <c r="N223" s="190"/>
    </row>
    <row r="224" ht="19.5" customHeight="1">
      <c r="N224" s="190"/>
    </row>
    <row r="225" ht="19.5" customHeight="1">
      <c r="N225" s="190"/>
    </row>
    <row r="226" ht="19.5" customHeight="1">
      <c r="N226" s="190"/>
    </row>
    <row r="227" ht="19.5" customHeight="1">
      <c r="N227" s="190"/>
    </row>
    <row r="228" ht="19.5" customHeight="1">
      <c r="N228" s="190"/>
    </row>
    <row r="229" ht="19.5" customHeight="1">
      <c r="N229" s="190"/>
    </row>
    <row r="230" ht="19.5" customHeight="1">
      <c r="N230" s="190"/>
    </row>
    <row r="231" ht="19.5" customHeight="1">
      <c r="N231" s="190"/>
    </row>
    <row r="232" ht="19.5" customHeight="1">
      <c r="N232" s="190"/>
    </row>
    <row r="233" ht="19.5" customHeight="1">
      <c r="N233" s="190"/>
    </row>
    <row r="234" ht="19.5" customHeight="1">
      <c r="N234" s="190"/>
    </row>
    <row r="235" ht="19.5" customHeight="1">
      <c r="N235" s="190"/>
    </row>
    <row r="236" ht="19.5" customHeight="1">
      <c r="N236" s="190"/>
    </row>
    <row r="237" ht="19.5" customHeight="1">
      <c r="N237" s="190"/>
    </row>
    <row r="238" ht="19.5" customHeight="1">
      <c r="N238" s="190"/>
    </row>
    <row r="239" ht="19.5" customHeight="1">
      <c r="N239" s="190"/>
    </row>
    <row r="240" ht="19.5" customHeight="1">
      <c r="N240" s="190"/>
    </row>
    <row r="241" ht="19.5" customHeight="1">
      <c r="N241" s="190"/>
    </row>
    <row r="242" ht="19.5" customHeight="1">
      <c r="N242" s="190"/>
    </row>
    <row r="243" ht="19.5" customHeight="1">
      <c r="N243" s="190"/>
    </row>
    <row r="244" ht="19.5" customHeight="1">
      <c r="N244" s="190"/>
    </row>
    <row r="245" ht="19.5" customHeight="1">
      <c r="N245" s="190"/>
    </row>
    <row r="246" ht="19.5" customHeight="1">
      <c r="N246" s="190"/>
    </row>
    <row r="247" ht="19.5" customHeight="1">
      <c r="N247" s="190"/>
    </row>
    <row r="248" ht="19.5" customHeight="1">
      <c r="N248" s="190"/>
    </row>
    <row r="249" ht="19.5" customHeight="1">
      <c r="N249" s="190"/>
    </row>
    <row r="250" ht="19.5" customHeight="1">
      <c r="N250" s="190"/>
    </row>
    <row r="251" ht="19.5" customHeight="1">
      <c r="N251" s="190"/>
    </row>
    <row r="252" ht="19.5" customHeight="1">
      <c r="N252" s="190"/>
    </row>
    <row r="253" ht="19.5" customHeight="1">
      <c r="N253" s="190"/>
    </row>
    <row r="254" ht="19.5" customHeight="1">
      <c r="N254" s="190"/>
    </row>
    <row r="255" ht="19.5" customHeight="1">
      <c r="N255" s="190"/>
    </row>
    <row r="256" ht="19.5" customHeight="1">
      <c r="N256" s="190"/>
    </row>
    <row r="257" ht="19.5" customHeight="1">
      <c r="N257" s="190"/>
    </row>
    <row r="258" ht="19.5" customHeight="1">
      <c r="N258" s="190"/>
    </row>
    <row r="259" ht="19.5" customHeight="1">
      <c r="N259" s="190"/>
    </row>
    <row r="260" ht="19.5" customHeight="1">
      <c r="N260" s="190"/>
    </row>
    <row r="261" ht="19.5" customHeight="1">
      <c r="N261" s="190"/>
    </row>
    <row r="262" ht="19.5" customHeight="1">
      <c r="N262" s="190"/>
    </row>
    <row r="263" ht="19.5" customHeight="1">
      <c r="N263" s="190"/>
    </row>
    <row r="264" ht="19.5" customHeight="1">
      <c r="N264" s="190"/>
    </row>
    <row r="265" ht="19.5" customHeight="1">
      <c r="N265" s="190"/>
    </row>
    <row r="266" ht="19.5" customHeight="1">
      <c r="N266" s="190"/>
    </row>
    <row r="267" ht="19.5" customHeight="1">
      <c r="N267" s="190"/>
    </row>
    <row r="268" ht="19.5" customHeight="1">
      <c r="N268" s="190"/>
    </row>
    <row r="269" ht="19.5" customHeight="1">
      <c r="N269" s="190"/>
    </row>
    <row r="270" ht="19.5" customHeight="1">
      <c r="N270" s="190"/>
    </row>
    <row r="271" ht="19.5" customHeight="1">
      <c r="N271" s="190"/>
    </row>
    <row r="272" ht="19.5" customHeight="1">
      <c r="N272" s="190"/>
    </row>
    <row r="273" ht="19.5" customHeight="1">
      <c r="N273" s="190"/>
    </row>
    <row r="274" ht="19.5" customHeight="1">
      <c r="N274" s="190"/>
    </row>
    <row r="275" ht="19.5" customHeight="1">
      <c r="N275" s="190"/>
    </row>
    <row r="276" ht="19.5" customHeight="1">
      <c r="N276" s="190"/>
    </row>
    <row r="277" ht="19.5" customHeight="1">
      <c r="N277" s="190"/>
    </row>
    <row r="278" ht="19.5" customHeight="1">
      <c r="N278" s="190"/>
    </row>
    <row r="279" ht="19.5" customHeight="1">
      <c r="N279" s="190"/>
    </row>
    <row r="280" ht="19.5" customHeight="1">
      <c r="N280" s="190"/>
    </row>
    <row r="281" ht="19.5" customHeight="1">
      <c r="N281" s="190"/>
    </row>
    <row r="282" ht="19.5" customHeight="1">
      <c r="N282" s="190"/>
    </row>
    <row r="283" ht="19.5" customHeight="1">
      <c r="N283" s="190"/>
    </row>
    <row r="284" ht="19.5" customHeight="1">
      <c r="N284" s="190"/>
    </row>
    <row r="285" ht="19.5" customHeight="1">
      <c r="N285" s="190"/>
    </row>
    <row r="286" ht="19.5" customHeight="1">
      <c r="N286" s="190"/>
    </row>
    <row r="287" ht="19.5" customHeight="1">
      <c r="N287" s="190"/>
    </row>
    <row r="288" ht="19.5" customHeight="1">
      <c r="N288" s="190"/>
    </row>
    <row r="289" ht="19.5" customHeight="1">
      <c r="N289" s="190"/>
    </row>
    <row r="290" ht="19.5" customHeight="1">
      <c r="N290" s="190"/>
    </row>
    <row r="291" ht="19.5" customHeight="1">
      <c r="N291" s="190"/>
    </row>
    <row r="292" ht="19.5" customHeight="1">
      <c r="N292" s="190"/>
    </row>
    <row r="293" ht="19.5" customHeight="1">
      <c r="N293" s="190"/>
    </row>
    <row r="294" ht="19.5" customHeight="1">
      <c r="N294" s="190"/>
    </row>
    <row r="295" ht="19.5" customHeight="1">
      <c r="N295" s="190"/>
    </row>
    <row r="296" ht="19.5" customHeight="1">
      <c r="N296" s="190"/>
    </row>
    <row r="297" ht="19.5" customHeight="1">
      <c r="N297" s="190"/>
    </row>
    <row r="298" ht="19.5" customHeight="1">
      <c r="N298" s="190"/>
    </row>
    <row r="299" ht="19.5" customHeight="1">
      <c r="N299" s="190"/>
    </row>
    <row r="300" ht="19.5" customHeight="1">
      <c r="N300" s="190"/>
    </row>
    <row r="301" ht="19.5" customHeight="1">
      <c r="N301" s="190"/>
    </row>
    <row r="302" ht="19.5" customHeight="1">
      <c r="N302" s="190"/>
    </row>
    <row r="303" ht="19.5" customHeight="1">
      <c r="N303" s="190"/>
    </row>
    <row r="304" ht="19.5" customHeight="1">
      <c r="N304" s="190"/>
    </row>
    <row r="305" ht="19.5" customHeight="1">
      <c r="N305" s="190"/>
    </row>
    <row r="306" ht="19.5" customHeight="1">
      <c r="N306" s="190"/>
    </row>
    <row r="307" ht="19.5" customHeight="1">
      <c r="N307" s="190"/>
    </row>
    <row r="308" ht="19.5" customHeight="1">
      <c r="N308" s="190"/>
    </row>
    <row r="309" ht="19.5" customHeight="1">
      <c r="N309" s="190"/>
    </row>
    <row r="310" ht="19.5" customHeight="1">
      <c r="N310" s="190"/>
    </row>
    <row r="311" ht="19.5" customHeight="1">
      <c r="N311" s="190"/>
    </row>
    <row r="312" ht="19.5" customHeight="1">
      <c r="N312" s="190"/>
    </row>
    <row r="313" ht="19.5" customHeight="1">
      <c r="N313" s="190"/>
    </row>
    <row r="314" ht="19.5" customHeight="1">
      <c r="N314" s="190"/>
    </row>
    <row r="315" ht="19.5" customHeight="1">
      <c r="N315" s="190"/>
    </row>
    <row r="316" ht="19.5" customHeight="1">
      <c r="N316" s="190"/>
    </row>
    <row r="317" ht="19.5" customHeight="1">
      <c r="N317" s="190"/>
    </row>
    <row r="318" ht="19.5" customHeight="1">
      <c r="N318" s="190"/>
    </row>
    <row r="319" ht="19.5" customHeight="1">
      <c r="N319" s="190"/>
    </row>
    <row r="320" ht="19.5" customHeight="1">
      <c r="N320" s="190"/>
    </row>
    <row r="321" ht="19.5" customHeight="1">
      <c r="N321" s="190"/>
    </row>
    <row r="322" ht="19.5" customHeight="1">
      <c r="N322" s="190"/>
    </row>
    <row r="323" ht="19.5" customHeight="1">
      <c r="N323" s="190"/>
    </row>
    <row r="324" ht="19.5" customHeight="1">
      <c r="N324" s="190"/>
    </row>
    <row r="325" ht="19.5" customHeight="1">
      <c r="N325" s="190"/>
    </row>
    <row r="326" ht="19.5" customHeight="1">
      <c r="N326" s="190"/>
    </row>
    <row r="327" ht="19.5" customHeight="1">
      <c r="N327" s="190"/>
    </row>
    <row r="328" ht="19.5" customHeight="1">
      <c r="N328" s="190"/>
    </row>
    <row r="329" ht="19.5" customHeight="1">
      <c r="N329" s="190"/>
    </row>
    <row r="330" ht="19.5" customHeight="1">
      <c r="N330" s="190"/>
    </row>
    <row r="331" ht="19.5" customHeight="1">
      <c r="N331" s="190"/>
    </row>
    <row r="332" ht="19.5" customHeight="1">
      <c r="N332" s="190"/>
    </row>
    <row r="333" ht="19.5" customHeight="1">
      <c r="N333" s="190"/>
    </row>
    <row r="334" ht="19.5" customHeight="1">
      <c r="N334" s="190"/>
    </row>
    <row r="335" ht="19.5" customHeight="1">
      <c r="N335" s="190"/>
    </row>
    <row r="336" ht="19.5" customHeight="1">
      <c r="N336" s="190"/>
    </row>
    <row r="337" ht="19.5" customHeight="1">
      <c r="N337" s="190"/>
    </row>
    <row r="338" ht="19.5" customHeight="1">
      <c r="N338" s="190"/>
    </row>
    <row r="339" ht="19.5" customHeight="1">
      <c r="N339" s="190"/>
    </row>
    <row r="340" ht="19.5" customHeight="1">
      <c r="N340" s="190"/>
    </row>
    <row r="341" ht="19.5" customHeight="1">
      <c r="N341" s="190"/>
    </row>
    <row r="342" ht="19.5" customHeight="1">
      <c r="N342" s="190"/>
    </row>
    <row r="343" ht="19.5" customHeight="1">
      <c r="N343" s="190"/>
    </row>
    <row r="344" ht="19.5" customHeight="1">
      <c r="N344" s="190"/>
    </row>
    <row r="345" ht="19.5" customHeight="1">
      <c r="N345" s="190"/>
    </row>
    <row r="346" ht="19.5" customHeight="1">
      <c r="N346" s="190"/>
    </row>
    <row r="347" ht="19.5" customHeight="1">
      <c r="N347" s="190"/>
    </row>
    <row r="348" ht="19.5" customHeight="1">
      <c r="N348" s="190"/>
    </row>
    <row r="349" ht="19.5" customHeight="1">
      <c r="N349" s="190"/>
    </row>
    <row r="350" ht="19.5" customHeight="1">
      <c r="N350" s="190"/>
    </row>
    <row r="351" ht="19.5" customHeight="1">
      <c r="N351" s="190"/>
    </row>
    <row r="352" ht="19.5" customHeight="1">
      <c r="N352" s="190"/>
    </row>
    <row r="353" ht="19.5" customHeight="1">
      <c r="N353" s="190"/>
    </row>
    <row r="354" ht="19.5" customHeight="1">
      <c r="N354" s="190"/>
    </row>
    <row r="355" ht="19.5" customHeight="1">
      <c r="N355" s="190"/>
    </row>
    <row r="356" ht="19.5" customHeight="1">
      <c r="N356" s="190"/>
    </row>
    <row r="357" ht="19.5" customHeight="1">
      <c r="N357" s="190"/>
    </row>
    <row r="358" ht="19.5" customHeight="1">
      <c r="N358" s="190"/>
    </row>
    <row r="359" ht="19.5" customHeight="1">
      <c r="N359" s="190"/>
    </row>
    <row r="360" ht="19.5" customHeight="1">
      <c r="N360" s="190"/>
    </row>
    <row r="361" ht="19.5" customHeight="1">
      <c r="N361" s="190"/>
    </row>
    <row r="362" ht="19.5" customHeight="1">
      <c r="N362" s="190"/>
    </row>
    <row r="363" ht="19.5" customHeight="1">
      <c r="N363" s="190"/>
    </row>
    <row r="364" ht="19.5" customHeight="1">
      <c r="N364" s="190"/>
    </row>
    <row r="365" ht="19.5" customHeight="1">
      <c r="N365" s="190"/>
    </row>
    <row r="366" ht="19.5" customHeight="1">
      <c r="N366" s="190"/>
    </row>
    <row r="367" ht="19.5" customHeight="1">
      <c r="N367" s="190"/>
    </row>
    <row r="368" ht="19.5" customHeight="1">
      <c r="N368" s="190"/>
    </row>
    <row r="369" ht="19.5" customHeight="1">
      <c r="N369" s="190"/>
    </row>
    <row r="370" ht="19.5" customHeight="1">
      <c r="N370" s="190"/>
    </row>
    <row r="371" ht="19.5" customHeight="1">
      <c r="N371" s="190"/>
    </row>
    <row r="372" ht="19.5" customHeight="1">
      <c r="N372" s="190"/>
    </row>
    <row r="373" ht="19.5" customHeight="1">
      <c r="N373" s="190"/>
    </row>
    <row r="374" ht="19.5" customHeight="1">
      <c r="N374" s="190"/>
    </row>
    <row r="375" ht="19.5" customHeight="1">
      <c r="N375" s="190"/>
    </row>
    <row r="376" ht="19.5" customHeight="1">
      <c r="N376" s="190"/>
    </row>
    <row r="377" ht="19.5" customHeight="1">
      <c r="N377" s="190"/>
    </row>
    <row r="378" ht="19.5" customHeight="1">
      <c r="N378" s="190"/>
    </row>
    <row r="379" ht="19.5" customHeight="1">
      <c r="N379" s="190"/>
    </row>
    <row r="380" ht="19.5" customHeight="1">
      <c r="N380" s="190"/>
    </row>
    <row r="381" ht="19.5" customHeight="1">
      <c r="N381" s="190"/>
    </row>
    <row r="382" ht="19.5" customHeight="1">
      <c r="N382" s="190"/>
    </row>
    <row r="383" ht="19.5" customHeight="1">
      <c r="N383" s="190"/>
    </row>
    <row r="384" ht="19.5" customHeight="1">
      <c r="N384" s="190"/>
    </row>
    <row r="385" ht="19.5" customHeight="1">
      <c r="N385" s="190"/>
    </row>
    <row r="386" ht="19.5" customHeight="1">
      <c r="N386" s="190"/>
    </row>
    <row r="387" ht="19.5" customHeight="1">
      <c r="N387" s="190"/>
    </row>
    <row r="388" ht="19.5" customHeight="1">
      <c r="N388" s="190"/>
    </row>
    <row r="389" ht="19.5" customHeight="1">
      <c r="N389" s="190"/>
    </row>
    <row r="390" ht="19.5" customHeight="1">
      <c r="N390" s="190"/>
    </row>
    <row r="391" ht="19.5" customHeight="1">
      <c r="N391" s="190"/>
    </row>
    <row r="392" ht="19.5" customHeight="1">
      <c r="N392" s="190"/>
    </row>
    <row r="393" ht="19.5" customHeight="1">
      <c r="N393" s="190"/>
    </row>
    <row r="394" ht="19.5" customHeight="1">
      <c r="N394" s="190"/>
    </row>
    <row r="395" ht="19.5" customHeight="1">
      <c r="N395" s="190"/>
    </row>
    <row r="396" ht="19.5" customHeight="1">
      <c r="N396" s="190"/>
    </row>
    <row r="397" ht="19.5" customHeight="1">
      <c r="N397" s="190"/>
    </row>
    <row r="398" ht="19.5" customHeight="1">
      <c r="N398" s="190"/>
    </row>
    <row r="399" ht="19.5" customHeight="1">
      <c r="N399" s="190"/>
    </row>
    <row r="400" ht="19.5" customHeight="1">
      <c r="N400" s="190"/>
    </row>
    <row r="401" ht="19.5" customHeight="1">
      <c r="N401" s="190"/>
    </row>
    <row r="402" ht="19.5" customHeight="1">
      <c r="N402" s="190"/>
    </row>
    <row r="403" ht="19.5" customHeight="1">
      <c r="N403" s="190"/>
    </row>
    <row r="404" ht="19.5" customHeight="1">
      <c r="N404" s="190"/>
    </row>
    <row r="405" ht="19.5" customHeight="1">
      <c r="N405" s="190"/>
    </row>
    <row r="406" ht="19.5" customHeight="1">
      <c r="N406" s="190"/>
    </row>
    <row r="407" ht="19.5" customHeight="1">
      <c r="N407" s="190"/>
    </row>
    <row r="408" ht="19.5" customHeight="1">
      <c r="N408" s="190"/>
    </row>
    <row r="409" ht="19.5" customHeight="1">
      <c r="N409" s="190"/>
    </row>
    <row r="410" ht="19.5" customHeight="1">
      <c r="N410" s="190"/>
    </row>
    <row r="411" ht="19.5" customHeight="1">
      <c r="N411" s="190"/>
    </row>
    <row r="412" ht="19.5" customHeight="1">
      <c r="N412" s="190"/>
    </row>
    <row r="413" ht="19.5" customHeight="1">
      <c r="N413" s="190"/>
    </row>
    <row r="414" ht="19.5" customHeight="1">
      <c r="N414" s="190"/>
    </row>
    <row r="415" ht="19.5" customHeight="1">
      <c r="N415" s="190"/>
    </row>
    <row r="416" ht="19.5" customHeight="1">
      <c r="N416" s="190"/>
    </row>
    <row r="417" ht="19.5" customHeight="1">
      <c r="N417" s="190"/>
    </row>
    <row r="418" ht="19.5" customHeight="1">
      <c r="N418" s="190"/>
    </row>
    <row r="419" ht="19.5" customHeight="1">
      <c r="N419" s="190"/>
    </row>
    <row r="420" ht="19.5" customHeight="1">
      <c r="N420" s="190"/>
    </row>
    <row r="421" ht="19.5" customHeight="1">
      <c r="N421" s="190"/>
    </row>
    <row r="422" ht="19.5" customHeight="1">
      <c r="N422" s="190"/>
    </row>
    <row r="423" ht="19.5" customHeight="1">
      <c r="N423" s="190"/>
    </row>
    <row r="424" ht="19.5" customHeight="1">
      <c r="N424" s="190"/>
    </row>
    <row r="425" ht="19.5" customHeight="1">
      <c r="N425" s="190"/>
    </row>
    <row r="426" ht="19.5" customHeight="1">
      <c r="N426" s="190"/>
    </row>
    <row r="427" ht="19.5" customHeight="1">
      <c r="N427" s="190"/>
    </row>
    <row r="428" ht="19.5" customHeight="1">
      <c r="N428" s="190"/>
    </row>
    <row r="429" ht="19.5" customHeight="1">
      <c r="N429" s="190"/>
    </row>
    <row r="430" ht="19.5" customHeight="1">
      <c r="N430" s="190"/>
    </row>
    <row r="431" ht="19.5" customHeight="1">
      <c r="N431" s="190"/>
    </row>
    <row r="432" ht="19.5" customHeight="1">
      <c r="N432" s="190"/>
    </row>
    <row r="433" ht="19.5" customHeight="1">
      <c r="N433" s="190"/>
    </row>
    <row r="434" ht="19.5" customHeight="1">
      <c r="N434" s="190"/>
    </row>
    <row r="435" ht="19.5" customHeight="1">
      <c r="N435" s="190"/>
    </row>
    <row r="436" ht="19.5" customHeight="1">
      <c r="N436" s="190"/>
    </row>
    <row r="437" ht="19.5" customHeight="1">
      <c r="N437" s="190"/>
    </row>
    <row r="438" ht="19.5" customHeight="1">
      <c r="N438" s="190"/>
    </row>
    <row r="439" ht="19.5" customHeight="1">
      <c r="N439" s="190"/>
    </row>
    <row r="440" ht="19.5" customHeight="1">
      <c r="N440" s="190"/>
    </row>
    <row r="441" ht="19.5" customHeight="1">
      <c r="N441" s="190"/>
    </row>
    <row r="442" ht="19.5" customHeight="1">
      <c r="N442" s="190"/>
    </row>
    <row r="443" ht="19.5" customHeight="1">
      <c r="N443" s="190"/>
    </row>
    <row r="444" ht="19.5" customHeight="1">
      <c r="N444" s="190"/>
    </row>
    <row r="445" ht="19.5" customHeight="1">
      <c r="N445" s="190"/>
    </row>
    <row r="446" ht="19.5" customHeight="1">
      <c r="N446" s="190"/>
    </row>
    <row r="447" ht="19.5" customHeight="1">
      <c r="N447" s="190"/>
    </row>
    <row r="448" ht="19.5" customHeight="1">
      <c r="N448" s="190"/>
    </row>
    <row r="449" ht="19.5" customHeight="1">
      <c r="N449" s="190"/>
    </row>
    <row r="450" ht="19.5" customHeight="1">
      <c r="N450" s="190"/>
    </row>
    <row r="451" ht="19.5" customHeight="1">
      <c r="N451" s="190"/>
    </row>
    <row r="452" ht="19.5" customHeight="1">
      <c r="N452" s="190"/>
    </row>
    <row r="453" ht="19.5" customHeight="1">
      <c r="N453" s="190"/>
    </row>
    <row r="454" ht="19.5" customHeight="1">
      <c r="N454" s="190"/>
    </row>
    <row r="455" ht="19.5" customHeight="1">
      <c r="N455" s="190"/>
    </row>
    <row r="456" ht="19.5" customHeight="1">
      <c r="N456" s="190"/>
    </row>
    <row r="457" ht="19.5" customHeight="1">
      <c r="N457" s="190"/>
    </row>
    <row r="458" ht="19.5" customHeight="1">
      <c r="N458" s="190"/>
    </row>
    <row r="459" ht="19.5" customHeight="1">
      <c r="N459" s="190"/>
    </row>
    <row r="460" ht="19.5" customHeight="1">
      <c r="N460" s="190"/>
    </row>
    <row r="461" ht="19.5" customHeight="1">
      <c r="N461" s="190"/>
    </row>
    <row r="462" ht="19.5" customHeight="1">
      <c r="N462" s="190"/>
    </row>
    <row r="463" ht="19.5" customHeight="1">
      <c r="N463" s="190"/>
    </row>
    <row r="464" ht="19.5" customHeight="1">
      <c r="N464" s="190"/>
    </row>
    <row r="465" ht="19.5" customHeight="1">
      <c r="N465" s="190"/>
    </row>
    <row r="466" ht="19.5" customHeight="1">
      <c r="N466" s="190"/>
    </row>
    <row r="467" ht="19.5" customHeight="1">
      <c r="N467" s="190"/>
    </row>
    <row r="468" ht="19.5" customHeight="1">
      <c r="N468" s="190"/>
    </row>
    <row r="469" ht="19.5" customHeight="1">
      <c r="N469" s="190"/>
    </row>
    <row r="470" ht="19.5" customHeight="1">
      <c r="N470" s="190"/>
    </row>
    <row r="471" ht="19.5" customHeight="1">
      <c r="N471" s="190"/>
    </row>
    <row r="472" ht="19.5" customHeight="1">
      <c r="N472" s="190"/>
    </row>
    <row r="473" ht="19.5" customHeight="1">
      <c r="N473" s="190"/>
    </row>
    <row r="474" ht="19.5" customHeight="1">
      <c r="N474" s="190"/>
    </row>
    <row r="475" ht="19.5" customHeight="1">
      <c r="N475" s="190"/>
    </row>
    <row r="476" ht="19.5" customHeight="1">
      <c r="N476" s="190"/>
    </row>
    <row r="477" ht="19.5" customHeight="1">
      <c r="N477" s="190"/>
    </row>
    <row r="478" ht="19.5" customHeight="1">
      <c r="N478" s="190"/>
    </row>
    <row r="479" ht="19.5" customHeight="1">
      <c r="N479" s="190"/>
    </row>
    <row r="480" ht="19.5" customHeight="1">
      <c r="N480" s="190"/>
    </row>
    <row r="481" ht="19.5" customHeight="1">
      <c r="N481" s="190"/>
    </row>
    <row r="482" ht="19.5" customHeight="1">
      <c r="N482" s="190"/>
    </row>
    <row r="483" ht="19.5" customHeight="1">
      <c r="N483" s="190"/>
    </row>
    <row r="484" ht="19.5" customHeight="1">
      <c r="N484" s="190"/>
    </row>
    <row r="485" ht="19.5" customHeight="1">
      <c r="N485" s="190"/>
    </row>
    <row r="486" ht="19.5" customHeight="1">
      <c r="N486" s="190"/>
    </row>
    <row r="487" ht="19.5" customHeight="1">
      <c r="N487" s="190"/>
    </row>
    <row r="488" ht="19.5" customHeight="1">
      <c r="N488" s="190"/>
    </row>
    <row r="489" ht="19.5" customHeight="1">
      <c r="N489" s="190"/>
    </row>
    <row r="490" ht="19.5" customHeight="1">
      <c r="N490" s="190"/>
    </row>
    <row r="491" ht="19.5" customHeight="1">
      <c r="N491" s="190"/>
    </row>
    <row r="492" ht="19.5" customHeight="1">
      <c r="N492" s="190"/>
    </row>
    <row r="493" ht="19.5" customHeight="1">
      <c r="N493" s="190"/>
    </row>
    <row r="494" ht="19.5" customHeight="1">
      <c r="N494" s="190"/>
    </row>
    <row r="495" ht="19.5" customHeight="1">
      <c r="N495" s="190"/>
    </row>
    <row r="496" ht="19.5" customHeight="1">
      <c r="N496" s="190"/>
    </row>
    <row r="497" ht="19.5" customHeight="1">
      <c r="N497" s="190"/>
    </row>
    <row r="498" ht="19.5" customHeight="1">
      <c r="N498" s="190"/>
    </row>
    <row r="499" ht="19.5" customHeight="1">
      <c r="N499" s="190"/>
    </row>
    <row r="500" ht="19.5" customHeight="1">
      <c r="N500" s="190"/>
    </row>
    <row r="501" ht="19.5" customHeight="1">
      <c r="N501" s="190"/>
    </row>
    <row r="502" ht="19.5" customHeight="1">
      <c r="N502" s="190"/>
    </row>
    <row r="503" ht="19.5" customHeight="1">
      <c r="N503" s="190"/>
    </row>
    <row r="504" ht="19.5" customHeight="1">
      <c r="N504" s="190"/>
    </row>
    <row r="505" ht="19.5" customHeight="1">
      <c r="N505" s="190"/>
    </row>
    <row r="506" ht="19.5" customHeight="1">
      <c r="N506" s="190"/>
    </row>
    <row r="507" ht="19.5" customHeight="1">
      <c r="N507" s="190"/>
    </row>
    <row r="508" ht="19.5" customHeight="1">
      <c r="N508" s="190"/>
    </row>
    <row r="509" ht="19.5" customHeight="1">
      <c r="N509" s="190"/>
    </row>
    <row r="510" ht="19.5" customHeight="1">
      <c r="N510" s="190"/>
    </row>
    <row r="511" ht="19.5" customHeight="1">
      <c r="N511" s="190"/>
    </row>
    <row r="512" ht="19.5" customHeight="1">
      <c r="N512" s="190"/>
    </row>
    <row r="513" ht="19.5" customHeight="1">
      <c r="N513" s="190"/>
    </row>
    <row r="514" ht="19.5" customHeight="1">
      <c r="N514" s="190"/>
    </row>
    <row r="515" ht="19.5" customHeight="1">
      <c r="N515" s="190"/>
    </row>
    <row r="516" ht="19.5" customHeight="1">
      <c r="N516" s="190"/>
    </row>
    <row r="517" ht="19.5" customHeight="1">
      <c r="N517" s="190"/>
    </row>
    <row r="518" ht="19.5" customHeight="1">
      <c r="N518" s="190"/>
    </row>
    <row r="519" ht="19.5" customHeight="1">
      <c r="N519" s="190"/>
    </row>
    <row r="520" ht="19.5" customHeight="1">
      <c r="N520" s="190"/>
    </row>
    <row r="521" ht="19.5" customHeight="1">
      <c r="N521" s="190"/>
    </row>
    <row r="522" ht="19.5" customHeight="1">
      <c r="N522" s="190"/>
    </row>
    <row r="523" ht="19.5" customHeight="1">
      <c r="N523" s="190"/>
    </row>
    <row r="524" ht="19.5" customHeight="1">
      <c r="N524" s="190"/>
    </row>
    <row r="525" ht="19.5" customHeight="1">
      <c r="N525" s="190"/>
    </row>
    <row r="526" ht="19.5" customHeight="1">
      <c r="N526" s="190"/>
    </row>
    <row r="527" ht="19.5" customHeight="1">
      <c r="N527" s="190"/>
    </row>
    <row r="528" ht="19.5" customHeight="1">
      <c r="N528" s="190"/>
    </row>
    <row r="529" ht="19.5" customHeight="1">
      <c r="N529" s="190"/>
    </row>
    <row r="530" ht="19.5" customHeight="1">
      <c r="N530" s="190"/>
    </row>
    <row r="531" ht="19.5" customHeight="1">
      <c r="N531" s="190"/>
    </row>
    <row r="532" ht="19.5" customHeight="1">
      <c r="N532" s="190"/>
    </row>
    <row r="533" ht="19.5" customHeight="1">
      <c r="N533" s="190"/>
    </row>
    <row r="534" ht="19.5" customHeight="1">
      <c r="N534" s="190"/>
    </row>
    <row r="535" ht="19.5" customHeight="1">
      <c r="N535" s="190"/>
    </row>
    <row r="536" ht="19.5" customHeight="1">
      <c r="N536" s="190"/>
    </row>
    <row r="537" ht="19.5" customHeight="1">
      <c r="N537" s="190"/>
    </row>
    <row r="538" ht="19.5" customHeight="1">
      <c r="N538" s="190"/>
    </row>
    <row r="539" ht="19.5" customHeight="1">
      <c r="N539" s="190"/>
    </row>
    <row r="540" ht="19.5" customHeight="1">
      <c r="N540" s="190"/>
    </row>
    <row r="541" ht="19.5" customHeight="1">
      <c r="N541" s="190"/>
    </row>
    <row r="542" ht="19.5" customHeight="1">
      <c r="N542" s="190"/>
    </row>
    <row r="543" ht="19.5" customHeight="1">
      <c r="N543" s="190"/>
    </row>
    <row r="544" ht="19.5" customHeight="1">
      <c r="N544" s="190"/>
    </row>
    <row r="545" ht="19.5" customHeight="1">
      <c r="N545" s="190"/>
    </row>
    <row r="546" ht="19.5" customHeight="1">
      <c r="N546" s="190"/>
    </row>
    <row r="547" ht="19.5" customHeight="1">
      <c r="N547" s="190"/>
    </row>
    <row r="548" ht="19.5" customHeight="1">
      <c r="N548" s="190"/>
    </row>
    <row r="549" ht="19.5" customHeight="1">
      <c r="N549" s="190"/>
    </row>
    <row r="550" ht="19.5" customHeight="1">
      <c r="N550" s="190"/>
    </row>
    <row r="551" ht="19.5" customHeight="1">
      <c r="N551" s="190"/>
    </row>
    <row r="552" ht="19.5" customHeight="1">
      <c r="N552" s="190"/>
    </row>
    <row r="553" ht="19.5" customHeight="1">
      <c r="N553" s="190"/>
    </row>
    <row r="554" ht="19.5" customHeight="1">
      <c r="N554" s="190"/>
    </row>
    <row r="555" ht="19.5" customHeight="1">
      <c r="N555" s="190"/>
    </row>
    <row r="556" ht="19.5" customHeight="1">
      <c r="N556" s="190"/>
    </row>
    <row r="557" ht="19.5" customHeight="1">
      <c r="N557" s="190"/>
    </row>
    <row r="558" ht="19.5" customHeight="1">
      <c r="N558" s="190"/>
    </row>
    <row r="559" ht="19.5" customHeight="1">
      <c r="N559" s="190"/>
    </row>
    <row r="560" ht="19.5" customHeight="1">
      <c r="N560" s="190"/>
    </row>
    <row r="561" ht="19.5" customHeight="1">
      <c r="N561" s="190"/>
    </row>
    <row r="562" ht="19.5" customHeight="1">
      <c r="N562" s="190"/>
    </row>
    <row r="563" ht="19.5" customHeight="1">
      <c r="N563" s="190"/>
    </row>
    <row r="564" ht="19.5" customHeight="1">
      <c r="N564" s="190"/>
    </row>
    <row r="565" ht="19.5" customHeight="1">
      <c r="N565" s="190"/>
    </row>
    <row r="566" ht="19.5" customHeight="1">
      <c r="N566" s="190"/>
    </row>
    <row r="567" ht="19.5" customHeight="1">
      <c r="N567" s="190"/>
    </row>
    <row r="568" ht="19.5" customHeight="1">
      <c r="N568" s="190"/>
    </row>
    <row r="569" ht="19.5" customHeight="1">
      <c r="N569" s="190"/>
    </row>
    <row r="570" ht="19.5" customHeight="1">
      <c r="N570" s="190"/>
    </row>
    <row r="571" ht="19.5" customHeight="1">
      <c r="N571" s="190"/>
    </row>
    <row r="572" ht="19.5" customHeight="1">
      <c r="N572" s="190"/>
    </row>
    <row r="573" ht="19.5" customHeight="1">
      <c r="N573" s="190"/>
    </row>
    <row r="574" ht="19.5" customHeight="1">
      <c r="N574" s="190"/>
    </row>
    <row r="575" ht="19.5" customHeight="1">
      <c r="N575" s="190"/>
    </row>
    <row r="576" ht="19.5" customHeight="1">
      <c r="N576" s="190"/>
    </row>
    <row r="577" ht="19.5" customHeight="1">
      <c r="N577" s="190"/>
    </row>
    <row r="578" ht="19.5" customHeight="1">
      <c r="N578" s="190"/>
    </row>
    <row r="579" ht="19.5" customHeight="1">
      <c r="N579" s="190"/>
    </row>
    <row r="580" ht="19.5" customHeight="1">
      <c r="N580" s="190"/>
    </row>
    <row r="581" ht="19.5" customHeight="1">
      <c r="N581" s="190"/>
    </row>
    <row r="582" ht="19.5" customHeight="1">
      <c r="N582" s="190"/>
    </row>
    <row r="583" ht="19.5" customHeight="1">
      <c r="N583" s="190"/>
    </row>
    <row r="584" ht="19.5" customHeight="1">
      <c r="N584" s="190"/>
    </row>
    <row r="585" ht="19.5" customHeight="1">
      <c r="N585" s="190"/>
    </row>
    <row r="586" ht="19.5" customHeight="1">
      <c r="N586" s="190"/>
    </row>
    <row r="587" ht="19.5" customHeight="1">
      <c r="N587" s="190"/>
    </row>
    <row r="588" ht="19.5" customHeight="1">
      <c r="N588" s="190"/>
    </row>
    <row r="589" ht="19.5" customHeight="1">
      <c r="N589" s="190"/>
    </row>
    <row r="590" ht="19.5" customHeight="1">
      <c r="N590" s="190"/>
    </row>
    <row r="591" ht="19.5" customHeight="1">
      <c r="N591" s="190"/>
    </row>
    <row r="592" ht="19.5" customHeight="1">
      <c r="N592" s="190"/>
    </row>
    <row r="593" ht="19.5" customHeight="1">
      <c r="N593" s="190"/>
    </row>
    <row r="594" ht="19.5" customHeight="1">
      <c r="N594" s="190"/>
    </row>
    <row r="595" ht="19.5" customHeight="1">
      <c r="N595" s="190"/>
    </row>
    <row r="596" ht="19.5" customHeight="1">
      <c r="N596" s="190"/>
    </row>
    <row r="597" ht="19.5" customHeight="1">
      <c r="N597" s="190"/>
    </row>
    <row r="598" ht="19.5" customHeight="1">
      <c r="N598" s="190"/>
    </row>
    <row r="599" ht="19.5" customHeight="1">
      <c r="N599" s="190"/>
    </row>
    <row r="600" ht="19.5" customHeight="1">
      <c r="N600" s="190"/>
    </row>
    <row r="601" ht="19.5" customHeight="1">
      <c r="N601" s="190"/>
    </row>
    <row r="602" ht="19.5" customHeight="1">
      <c r="N602" s="190"/>
    </row>
    <row r="603" ht="19.5" customHeight="1">
      <c r="N603" s="190"/>
    </row>
    <row r="604" ht="19.5" customHeight="1">
      <c r="N604" s="190"/>
    </row>
    <row r="605" ht="19.5" customHeight="1">
      <c r="N605" s="190"/>
    </row>
    <row r="606" ht="19.5" customHeight="1">
      <c r="N606" s="190"/>
    </row>
    <row r="607" ht="19.5" customHeight="1">
      <c r="N607" s="190"/>
    </row>
    <row r="608" ht="19.5" customHeight="1">
      <c r="N608" s="190"/>
    </row>
    <row r="609" ht="19.5" customHeight="1">
      <c r="N609" s="190"/>
    </row>
    <row r="610" ht="19.5" customHeight="1">
      <c r="N610" s="190"/>
    </row>
    <row r="611" ht="19.5" customHeight="1">
      <c r="N611" s="190"/>
    </row>
    <row r="612" ht="19.5" customHeight="1">
      <c r="N612" s="190"/>
    </row>
    <row r="613" ht="19.5" customHeight="1">
      <c r="N613" s="190"/>
    </row>
    <row r="614" ht="19.5" customHeight="1">
      <c r="N614" s="190"/>
    </row>
    <row r="615" ht="19.5" customHeight="1">
      <c r="N615" s="190"/>
    </row>
    <row r="616" ht="19.5" customHeight="1">
      <c r="N616" s="190"/>
    </row>
    <row r="617" ht="19.5" customHeight="1">
      <c r="N617" s="190"/>
    </row>
    <row r="618" ht="19.5" customHeight="1">
      <c r="N618" s="190"/>
    </row>
    <row r="619" ht="19.5" customHeight="1">
      <c r="N619" s="190"/>
    </row>
    <row r="620" ht="19.5" customHeight="1">
      <c r="N620" s="190"/>
    </row>
    <row r="621" ht="19.5" customHeight="1">
      <c r="N621" s="190"/>
    </row>
    <row r="622" ht="19.5" customHeight="1">
      <c r="N622" s="190"/>
    </row>
    <row r="623" ht="19.5" customHeight="1">
      <c r="N623" s="190"/>
    </row>
    <row r="624" ht="19.5" customHeight="1">
      <c r="N624" s="190"/>
    </row>
    <row r="625" ht="19.5" customHeight="1">
      <c r="N625" s="190"/>
    </row>
    <row r="626" ht="19.5" customHeight="1">
      <c r="N626" s="190"/>
    </row>
    <row r="627" ht="19.5" customHeight="1">
      <c r="N627" s="190"/>
    </row>
    <row r="628" ht="19.5" customHeight="1">
      <c r="N628" s="190"/>
    </row>
    <row r="629" ht="19.5" customHeight="1">
      <c r="N629" s="190"/>
    </row>
    <row r="630" ht="19.5" customHeight="1">
      <c r="N630" s="190"/>
    </row>
    <row r="631" ht="19.5" customHeight="1">
      <c r="N631" s="190"/>
    </row>
    <row r="632" ht="19.5" customHeight="1">
      <c r="N632" s="190"/>
    </row>
    <row r="633" ht="19.5" customHeight="1">
      <c r="N633" s="190"/>
    </row>
    <row r="634" ht="19.5" customHeight="1">
      <c r="N634" s="190"/>
    </row>
    <row r="635" ht="19.5" customHeight="1">
      <c r="N635" s="190"/>
    </row>
    <row r="636" ht="19.5" customHeight="1">
      <c r="N636" s="190"/>
    </row>
    <row r="637" ht="19.5" customHeight="1">
      <c r="N637" s="190"/>
    </row>
    <row r="638" ht="19.5" customHeight="1">
      <c r="N638" s="190"/>
    </row>
    <row r="639" ht="19.5" customHeight="1">
      <c r="N639" s="190"/>
    </row>
    <row r="640" ht="19.5" customHeight="1">
      <c r="N640" s="190"/>
    </row>
    <row r="641" ht="19.5" customHeight="1">
      <c r="N641" s="190"/>
    </row>
    <row r="642" ht="19.5" customHeight="1">
      <c r="N642" s="190"/>
    </row>
    <row r="643" ht="19.5" customHeight="1">
      <c r="N643" s="190"/>
    </row>
    <row r="644" ht="19.5" customHeight="1">
      <c r="N644" s="190"/>
    </row>
    <row r="645" ht="19.5" customHeight="1">
      <c r="N645" s="190"/>
    </row>
    <row r="646" ht="19.5" customHeight="1">
      <c r="N646" s="190"/>
    </row>
    <row r="647" ht="19.5" customHeight="1">
      <c r="N647" s="190"/>
    </row>
    <row r="648" ht="19.5" customHeight="1">
      <c r="N648" s="190"/>
    </row>
    <row r="649" ht="19.5" customHeight="1">
      <c r="N649" s="190"/>
    </row>
    <row r="650" ht="19.5" customHeight="1">
      <c r="N650" s="190"/>
    </row>
    <row r="651" ht="19.5" customHeight="1">
      <c r="N651" s="190"/>
    </row>
    <row r="652" ht="19.5" customHeight="1">
      <c r="N652" s="190"/>
    </row>
    <row r="653" ht="19.5" customHeight="1">
      <c r="N653" s="190"/>
    </row>
    <row r="654" ht="19.5" customHeight="1">
      <c r="N654" s="190"/>
    </row>
    <row r="655" ht="19.5" customHeight="1">
      <c r="N655" s="190"/>
    </row>
    <row r="656" ht="19.5" customHeight="1">
      <c r="N656" s="190"/>
    </row>
    <row r="657" ht="19.5" customHeight="1">
      <c r="N657" s="190"/>
    </row>
    <row r="658" ht="19.5" customHeight="1">
      <c r="N658" s="190"/>
    </row>
    <row r="659" ht="19.5" customHeight="1">
      <c r="N659" s="190"/>
    </row>
    <row r="660" ht="19.5" customHeight="1">
      <c r="N660" s="190"/>
    </row>
    <row r="661" ht="19.5" customHeight="1">
      <c r="N661" s="190"/>
    </row>
    <row r="662" ht="19.5" customHeight="1">
      <c r="N662" s="190"/>
    </row>
    <row r="663" ht="19.5" customHeight="1">
      <c r="N663" s="190"/>
    </row>
    <row r="664" ht="19.5" customHeight="1">
      <c r="N664" s="190"/>
    </row>
    <row r="665" ht="19.5" customHeight="1">
      <c r="N665" s="190"/>
    </row>
    <row r="666" ht="19.5" customHeight="1">
      <c r="N666" s="190"/>
    </row>
    <row r="667" ht="19.5" customHeight="1">
      <c r="N667" s="190"/>
    </row>
    <row r="668" ht="19.5" customHeight="1">
      <c r="N668" s="190"/>
    </row>
    <row r="669" ht="19.5" customHeight="1">
      <c r="N669" s="190"/>
    </row>
    <row r="670" ht="19.5" customHeight="1">
      <c r="N670" s="190"/>
    </row>
    <row r="671" ht="19.5" customHeight="1">
      <c r="N671" s="190"/>
    </row>
    <row r="672" ht="19.5" customHeight="1">
      <c r="N672" s="190"/>
    </row>
    <row r="673" ht="19.5" customHeight="1">
      <c r="N673" s="190"/>
    </row>
    <row r="674" ht="19.5" customHeight="1">
      <c r="N674" s="190"/>
    </row>
    <row r="675" ht="19.5" customHeight="1">
      <c r="N675" s="190"/>
    </row>
    <row r="676" ht="19.5" customHeight="1">
      <c r="N676" s="190"/>
    </row>
    <row r="677" ht="19.5" customHeight="1">
      <c r="N677" s="190"/>
    </row>
    <row r="678" ht="19.5" customHeight="1">
      <c r="N678" s="190"/>
    </row>
    <row r="679" ht="19.5" customHeight="1">
      <c r="N679" s="190"/>
    </row>
    <row r="680" ht="19.5" customHeight="1">
      <c r="N680" s="190"/>
    </row>
    <row r="681" ht="19.5" customHeight="1">
      <c r="N681" s="190"/>
    </row>
    <row r="682" ht="19.5" customHeight="1">
      <c r="N682" s="190"/>
    </row>
    <row r="683" ht="19.5" customHeight="1">
      <c r="N683" s="190"/>
    </row>
    <row r="684" ht="19.5" customHeight="1">
      <c r="N684" s="190"/>
    </row>
    <row r="685" ht="19.5" customHeight="1">
      <c r="N685" s="190"/>
    </row>
    <row r="686" ht="19.5" customHeight="1">
      <c r="N686" s="190"/>
    </row>
    <row r="687" ht="19.5" customHeight="1">
      <c r="N687" s="190"/>
    </row>
    <row r="688" ht="19.5" customHeight="1">
      <c r="N688" s="190"/>
    </row>
    <row r="689" ht="19.5" customHeight="1">
      <c r="N689" s="190"/>
    </row>
    <row r="690" ht="19.5" customHeight="1">
      <c r="N690" s="190"/>
    </row>
    <row r="691" ht="19.5" customHeight="1">
      <c r="N691" s="190"/>
    </row>
    <row r="692" ht="19.5" customHeight="1">
      <c r="N692" s="190"/>
    </row>
    <row r="693" ht="19.5" customHeight="1">
      <c r="N693" s="190"/>
    </row>
    <row r="694" ht="19.5" customHeight="1">
      <c r="N694" s="190"/>
    </row>
    <row r="695" ht="19.5" customHeight="1">
      <c r="N695" s="190"/>
    </row>
    <row r="696" ht="19.5" customHeight="1">
      <c r="N696" s="190"/>
    </row>
    <row r="697" ht="19.5" customHeight="1">
      <c r="N697" s="190"/>
    </row>
    <row r="698" ht="19.5" customHeight="1">
      <c r="N698" s="190"/>
    </row>
    <row r="699" ht="19.5" customHeight="1">
      <c r="N699" s="190"/>
    </row>
    <row r="700" ht="19.5" customHeight="1">
      <c r="N700" s="190"/>
    </row>
    <row r="701" ht="19.5" customHeight="1">
      <c r="N701" s="190"/>
    </row>
    <row r="702" ht="19.5" customHeight="1">
      <c r="N702" s="190"/>
    </row>
    <row r="703" ht="19.5" customHeight="1">
      <c r="N703" s="190"/>
    </row>
    <row r="704" ht="19.5" customHeight="1">
      <c r="N704" s="190"/>
    </row>
    <row r="705" ht="19.5" customHeight="1">
      <c r="N705" s="190"/>
    </row>
    <row r="706" ht="19.5" customHeight="1">
      <c r="N706" s="190"/>
    </row>
    <row r="707" ht="19.5" customHeight="1">
      <c r="N707" s="190"/>
    </row>
    <row r="708" ht="19.5" customHeight="1">
      <c r="N708" s="190"/>
    </row>
    <row r="709" ht="19.5" customHeight="1">
      <c r="N709" s="190"/>
    </row>
    <row r="710" ht="19.5" customHeight="1">
      <c r="N710" s="190"/>
    </row>
    <row r="711" ht="19.5" customHeight="1">
      <c r="N711" s="190"/>
    </row>
    <row r="712" ht="19.5" customHeight="1">
      <c r="N712" s="190"/>
    </row>
    <row r="713" ht="19.5" customHeight="1">
      <c r="N713" s="190"/>
    </row>
    <row r="714" ht="19.5" customHeight="1">
      <c r="N714" s="190"/>
    </row>
    <row r="715" ht="19.5" customHeight="1">
      <c r="N715" s="190"/>
    </row>
    <row r="716" ht="19.5" customHeight="1">
      <c r="N716" s="190"/>
    </row>
    <row r="717" ht="19.5" customHeight="1">
      <c r="N717" s="190"/>
    </row>
    <row r="718" ht="19.5" customHeight="1">
      <c r="N718" s="190"/>
    </row>
    <row r="719" ht="19.5" customHeight="1">
      <c r="N719" s="190"/>
    </row>
    <row r="720" ht="19.5" customHeight="1">
      <c r="N720" s="190"/>
    </row>
    <row r="721" ht="19.5" customHeight="1">
      <c r="N721" s="190"/>
    </row>
    <row r="722" ht="19.5" customHeight="1">
      <c r="N722" s="190"/>
    </row>
    <row r="723" ht="19.5" customHeight="1">
      <c r="N723" s="190"/>
    </row>
    <row r="724" ht="19.5" customHeight="1">
      <c r="N724" s="190"/>
    </row>
    <row r="725" ht="19.5" customHeight="1">
      <c r="N725" s="190"/>
    </row>
    <row r="726" ht="19.5" customHeight="1">
      <c r="N726" s="190"/>
    </row>
    <row r="727" ht="19.5" customHeight="1">
      <c r="N727" s="190"/>
    </row>
    <row r="728" ht="19.5" customHeight="1">
      <c r="N728" s="190"/>
    </row>
    <row r="729" ht="19.5" customHeight="1">
      <c r="N729" s="190"/>
    </row>
    <row r="730" ht="19.5" customHeight="1">
      <c r="N730" s="190"/>
    </row>
    <row r="731" ht="19.5" customHeight="1">
      <c r="N731" s="190"/>
    </row>
    <row r="732" ht="19.5" customHeight="1">
      <c r="N732" s="190"/>
    </row>
    <row r="733" ht="19.5" customHeight="1">
      <c r="N733" s="190"/>
    </row>
    <row r="734" ht="19.5" customHeight="1">
      <c r="N734" s="190"/>
    </row>
    <row r="735" ht="19.5" customHeight="1">
      <c r="N735" s="190"/>
    </row>
    <row r="736" ht="19.5" customHeight="1">
      <c r="N736" s="190"/>
    </row>
    <row r="737" ht="19.5" customHeight="1">
      <c r="N737" s="190"/>
    </row>
    <row r="738" ht="19.5" customHeight="1">
      <c r="N738" s="190"/>
    </row>
    <row r="739" ht="19.5" customHeight="1">
      <c r="N739" s="190"/>
    </row>
    <row r="740" ht="19.5" customHeight="1">
      <c r="N740" s="190"/>
    </row>
    <row r="741" ht="19.5" customHeight="1">
      <c r="N741" s="190"/>
    </row>
    <row r="742" ht="19.5" customHeight="1">
      <c r="N742" s="190"/>
    </row>
    <row r="743" ht="19.5" customHeight="1">
      <c r="N743" s="190"/>
    </row>
    <row r="744" ht="19.5" customHeight="1">
      <c r="N744" s="190"/>
    </row>
    <row r="745" ht="19.5" customHeight="1">
      <c r="N745" s="190"/>
    </row>
    <row r="746" ht="19.5" customHeight="1">
      <c r="N746" s="190"/>
    </row>
    <row r="747" ht="19.5" customHeight="1">
      <c r="N747" s="190"/>
    </row>
    <row r="748" ht="19.5" customHeight="1">
      <c r="N748" s="190"/>
    </row>
    <row r="749" ht="19.5" customHeight="1">
      <c r="N749" s="190"/>
    </row>
    <row r="750" ht="19.5" customHeight="1">
      <c r="N750" s="190"/>
    </row>
    <row r="751" ht="19.5" customHeight="1">
      <c r="N751" s="190"/>
    </row>
    <row r="752" ht="19.5" customHeight="1">
      <c r="N752" s="190"/>
    </row>
    <row r="753" ht="19.5" customHeight="1">
      <c r="N753" s="190"/>
    </row>
    <row r="754" ht="19.5" customHeight="1">
      <c r="N754" s="190"/>
    </row>
    <row r="755" ht="19.5" customHeight="1">
      <c r="N755" s="190"/>
    </row>
    <row r="756" ht="19.5" customHeight="1">
      <c r="N756" s="190"/>
    </row>
    <row r="757" ht="19.5" customHeight="1">
      <c r="N757" s="190"/>
    </row>
    <row r="758" ht="19.5" customHeight="1">
      <c r="N758" s="190"/>
    </row>
    <row r="759" ht="19.5" customHeight="1">
      <c r="N759" s="190"/>
    </row>
    <row r="760" ht="19.5" customHeight="1">
      <c r="N760" s="190"/>
    </row>
    <row r="761" ht="19.5" customHeight="1">
      <c r="N761" s="190"/>
    </row>
    <row r="762" ht="19.5" customHeight="1">
      <c r="N762" s="190"/>
    </row>
    <row r="763" ht="19.5" customHeight="1">
      <c r="N763" s="190"/>
    </row>
    <row r="764" ht="19.5" customHeight="1">
      <c r="N764" s="190"/>
    </row>
    <row r="765" ht="19.5" customHeight="1">
      <c r="N765" s="190"/>
    </row>
    <row r="766" ht="19.5" customHeight="1">
      <c r="N766" s="190"/>
    </row>
    <row r="767" ht="19.5" customHeight="1">
      <c r="N767" s="190"/>
    </row>
    <row r="768" ht="19.5" customHeight="1">
      <c r="N768" s="190"/>
    </row>
    <row r="769" ht="19.5" customHeight="1">
      <c r="N769" s="190"/>
    </row>
    <row r="770" ht="19.5" customHeight="1">
      <c r="N770" s="190"/>
    </row>
    <row r="771" ht="19.5" customHeight="1">
      <c r="N771" s="190"/>
    </row>
    <row r="772" ht="19.5" customHeight="1">
      <c r="N772" s="190"/>
    </row>
    <row r="773" ht="19.5" customHeight="1">
      <c r="N773" s="190"/>
    </row>
    <row r="774" ht="19.5" customHeight="1">
      <c r="N774" s="190"/>
    </row>
    <row r="775" ht="19.5" customHeight="1">
      <c r="N775" s="190"/>
    </row>
    <row r="776" ht="19.5" customHeight="1">
      <c r="N776" s="190"/>
    </row>
    <row r="777" ht="19.5" customHeight="1">
      <c r="N777" s="190"/>
    </row>
    <row r="778" ht="19.5" customHeight="1">
      <c r="N778" s="190"/>
    </row>
    <row r="779" ht="19.5" customHeight="1">
      <c r="N779" s="190"/>
    </row>
    <row r="780" ht="19.5" customHeight="1">
      <c r="N780" s="190"/>
    </row>
    <row r="781" ht="19.5" customHeight="1">
      <c r="N781" s="190"/>
    </row>
    <row r="782" ht="19.5" customHeight="1">
      <c r="N782" s="190"/>
    </row>
    <row r="783" ht="19.5" customHeight="1">
      <c r="N783" s="190"/>
    </row>
    <row r="784" ht="19.5" customHeight="1">
      <c r="N784" s="190"/>
    </row>
    <row r="785" ht="19.5" customHeight="1">
      <c r="N785" s="190"/>
    </row>
    <row r="786" ht="19.5" customHeight="1">
      <c r="N786" s="190"/>
    </row>
    <row r="787" ht="19.5" customHeight="1">
      <c r="N787" s="190"/>
    </row>
    <row r="788" ht="19.5" customHeight="1">
      <c r="N788" s="190"/>
    </row>
    <row r="789" ht="19.5" customHeight="1">
      <c r="N789" s="190"/>
    </row>
    <row r="790" ht="19.5" customHeight="1">
      <c r="N790" s="190"/>
    </row>
    <row r="791" ht="19.5" customHeight="1">
      <c r="N791" s="190"/>
    </row>
    <row r="792" ht="19.5" customHeight="1">
      <c r="N792" s="190"/>
    </row>
    <row r="793" ht="19.5" customHeight="1">
      <c r="N793" s="190"/>
    </row>
    <row r="794" ht="19.5" customHeight="1">
      <c r="N794" s="190"/>
    </row>
    <row r="795" ht="19.5" customHeight="1">
      <c r="N795" s="190"/>
    </row>
    <row r="796" ht="19.5" customHeight="1">
      <c r="N796" s="190"/>
    </row>
    <row r="797" ht="19.5" customHeight="1">
      <c r="N797" s="190"/>
    </row>
    <row r="798" ht="19.5" customHeight="1">
      <c r="N798" s="190"/>
    </row>
    <row r="799" ht="19.5" customHeight="1">
      <c r="N799" s="190"/>
    </row>
    <row r="800" ht="19.5" customHeight="1">
      <c r="N800" s="190"/>
    </row>
    <row r="801" ht="19.5" customHeight="1">
      <c r="N801" s="190"/>
    </row>
    <row r="802" ht="19.5" customHeight="1">
      <c r="N802" s="190"/>
    </row>
    <row r="803" ht="19.5" customHeight="1">
      <c r="N803" s="190"/>
    </row>
    <row r="804" ht="19.5" customHeight="1">
      <c r="N804" s="190"/>
    </row>
    <row r="805" ht="19.5" customHeight="1">
      <c r="N805" s="190"/>
    </row>
    <row r="806" ht="19.5" customHeight="1">
      <c r="N806" s="190"/>
    </row>
    <row r="807" ht="19.5" customHeight="1">
      <c r="N807" s="190"/>
    </row>
    <row r="808" ht="19.5" customHeight="1">
      <c r="N808" s="190"/>
    </row>
    <row r="809" ht="19.5" customHeight="1">
      <c r="N809" s="190"/>
    </row>
    <row r="810" ht="19.5" customHeight="1">
      <c r="N810" s="190"/>
    </row>
    <row r="811" ht="19.5" customHeight="1">
      <c r="N811" s="190"/>
    </row>
    <row r="812" ht="19.5" customHeight="1">
      <c r="N812" s="190"/>
    </row>
    <row r="813" ht="19.5" customHeight="1">
      <c r="N813" s="190"/>
    </row>
    <row r="814" ht="19.5" customHeight="1">
      <c r="N814" s="190"/>
    </row>
    <row r="815" ht="19.5" customHeight="1">
      <c r="N815" s="190"/>
    </row>
    <row r="816" ht="19.5" customHeight="1">
      <c r="N816" s="190"/>
    </row>
    <row r="817" ht="19.5" customHeight="1">
      <c r="N817" s="190"/>
    </row>
    <row r="818" ht="19.5" customHeight="1">
      <c r="N818" s="190"/>
    </row>
    <row r="819" ht="19.5" customHeight="1">
      <c r="N819" s="190"/>
    </row>
    <row r="820" ht="19.5" customHeight="1">
      <c r="N820" s="190"/>
    </row>
    <row r="821" ht="19.5" customHeight="1">
      <c r="N821" s="190"/>
    </row>
    <row r="822" ht="19.5" customHeight="1">
      <c r="N822" s="190"/>
    </row>
    <row r="823" ht="19.5" customHeight="1">
      <c r="N823" s="190"/>
    </row>
    <row r="824" ht="19.5" customHeight="1">
      <c r="N824" s="190"/>
    </row>
    <row r="825" ht="19.5" customHeight="1">
      <c r="N825" s="190"/>
    </row>
    <row r="826" ht="19.5" customHeight="1">
      <c r="N826" s="190"/>
    </row>
    <row r="827" ht="19.5" customHeight="1">
      <c r="N827" s="190"/>
    </row>
    <row r="828" ht="19.5" customHeight="1">
      <c r="N828" s="190"/>
    </row>
    <row r="829" ht="19.5" customHeight="1">
      <c r="N829" s="190"/>
    </row>
    <row r="830" ht="19.5" customHeight="1">
      <c r="N830" s="190"/>
    </row>
    <row r="831" ht="19.5" customHeight="1">
      <c r="N831" s="190"/>
    </row>
    <row r="832" ht="19.5" customHeight="1">
      <c r="N832" s="190"/>
    </row>
    <row r="833" ht="19.5" customHeight="1">
      <c r="N833" s="190"/>
    </row>
    <row r="834" ht="19.5" customHeight="1">
      <c r="N834" s="190"/>
    </row>
    <row r="835" ht="19.5" customHeight="1">
      <c r="N835" s="190"/>
    </row>
    <row r="836" ht="19.5" customHeight="1">
      <c r="N836" s="190"/>
    </row>
    <row r="837" ht="19.5" customHeight="1">
      <c r="N837" s="190"/>
    </row>
    <row r="838" ht="19.5" customHeight="1">
      <c r="N838" s="190"/>
    </row>
    <row r="839" ht="19.5" customHeight="1">
      <c r="N839" s="190"/>
    </row>
    <row r="840" ht="19.5" customHeight="1">
      <c r="N840" s="190"/>
    </row>
    <row r="841" ht="19.5" customHeight="1">
      <c r="N841" s="190"/>
    </row>
    <row r="842" ht="19.5" customHeight="1">
      <c r="N842" s="190"/>
    </row>
    <row r="843" ht="19.5" customHeight="1">
      <c r="N843" s="190"/>
    </row>
    <row r="844" ht="19.5" customHeight="1">
      <c r="N844" s="190"/>
    </row>
    <row r="845" ht="19.5" customHeight="1">
      <c r="N845" s="190"/>
    </row>
    <row r="846" ht="19.5" customHeight="1">
      <c r="N846" s="190"/>
    </row>
    <row r="847" ht="19.5" customHeight="1">
      <c r="N847" s="190"/>
    </row>
    <row r="848" ht="19.5" customHeight="1">
      <c r="N848" s="190"/>
    </row>
    <row r="849" ht="19.5" customHeight="1">
      <c r="N849" s="190"/>
    </row>
    <row r="850" ht="19.5" customHeight="1">
      <c r="N850" s="190"/>
    </row>
    <row r="851" ht="19.5" customHeight="1">
      <c r="N851" s="190"/>
    </row>
    <row r="852" ht="19.5" customHeight="1">
      <c r="N852" s="190"/>
    </row>
    <row r="853" ht="19.5" customHeight="1">
      <c r="N853" s="190"/>
    </row>
    <row r="854" ht="19.5" customHeight="1">
      <c r="N854" s="190"/>
    </row>
    <row r="855" ht="19.5" customHeight="1">
      <c r="N855" s="190"/>
    </row>
    <row r="856" ht="19.5" customHeight="1">
      <c r="N856" s="190"/>
    </row>
    <row r="857" ht="19.5" customHeight="1">
      <c r="N857" s="190"/>
    </row>
    <row r="858" ht="19.5" customHeight="1">
      <c r="N858" s="190"/>
    </row>
    <row r="859" ht="19.5" customHeight="1">
      <c r="N859" s="190"/>
    </row>
    <row r="860" ht="19.5" customHeight="1">
      <c r="N860" s="190"/>
    </row>
    <row r="861" ht="19.5" customHeight="1">
      <c r="N861" s="190"/>
    </row>
    <row r="862" ht="19.5" customHeight="1">
      <c r="N862" s="190"/>
    </row>
    <row r="863" ht="19.5" customHeight="1">
      <c r="N863" s="190"/>
    </row>
    <row r="864" ht="19.5" customHeight="1">
      <c r="N864" s="190"/>
    </row>
    <row r="865" ht="19.5" customHeight="1">
      <c r="N865" s="190"/>
    </row>
    <row r="866" ht="19.5" customHeight="1">
      <c r="N866" s="190"/>
    </row>
    <row r="867" ht="19.5" customHeight="1">
      <c r="N867" s="190"/>
    </row>
    <row r="868" ht="19.5" customHeight="1">
      <c r="N868" s="190"/>
    </row>
    <row r="869" ht="19.5" customHeight="1">
      <c r="N869" s="190"/>
    </row>
    <row r="870" ht="19.5" customHeight="1">
      <c r="N870" s="190"/>
    </row>
    <row r="871" ht="19.5" customHeight="1">
      <c r="N871" s="190"/>
    </row>
    <row r="872" ht="19.5" customHeight="1">
      <c r="N872" s="190"/>
    </row>
    <row r="873" ht="19.5" customHeight="1">
      <c r="N873" s="190"/>
    </row>
    <row r="874" ht="19.5" customHeight="1">
      <c r="N874" s="190"/>
    </row>
    <row r="875" ht="19.5" customHeight="1">
      <c r="N875" s="190"/>
    </row>
    <row r="876" ht="19.5" customHeight="1">
      <c r="N876" s="190"/>
    </row>
    <row r="877" ht="19.5" customHeight="1">
      <c r="N877" s="190"/>
    </row>
    <row r="878" ht="19.5" customHeight="1">
      <c r="N878" s="190"/>
    </row>
    <row r="879" ht="19.5" customHeight="1">
      <c r="N879" s="190"/>
    </row>
    <row r="880" ht="19.5" customHeight="1">
      <c r="N880" s="190"/>
    </row>
    <row r="881" ht="19.5" customHeight="1">
      <c r="N881" s="190"/>
    </row>
    <row r="882" ht="19.5" customHeight="1">
      <c r="N882" s="190"/>
    </row>
    <row r="883" ht="19.5" customHeight="1">
      <c r="N883" s="190"/>
    </row>
    <row r="884" ht="19.5" customHeight="1">
      <c r="N884" s="190"/>
    </row>
    <row r="885" ht="19.5" customHeight="1">
      <c r="N885" s="190"/>
    </row>
    <row r="886" ht="19.5" customHeight="1">
      <c r="N886" s="190"/>
    </row>
    <row r="887" ht="19.5" customHeight="1">
      <c r="N887" s="190"/>
    </row>
    <row r="888" ht="19.5" customHeight="1">
      <c r="N888" s="190"/>
    </row>
    <row r="889" ht="19.5" customHeight="1">
      <c r="N889" s="190"/>
    </row>
    <row r="890" ht="19.5" customHeight="1">
      <c r="N890" s="190"/>
    </row>
    <row r="891" ht="19.5" customHeight="1">
      <c r="N891" s="190"/>
    </row>
    <row r="892" ht="19.5" customHeight="1">
      <c r="N892" s="190"/>
    </row>
    <row r="893" ht="19.5" customHeight="1">
      <c r="N893" s="190"/>
    </row>
    <row r="894" ht="19.5" customHeight="1">
      <c r="N894" s="190"/>
    </row>
    <row r="895" ht="19.5" customHeight="1">
      <c r="N895" s="190"/>
    </row>
    <row r="896" ht="19.5" customHeight="1">
      <c r="N896" s="190"/>
    </row>
    <row r="897" ht="19.5" customHeight="1">
      <c r="N897" s="190"/>
    </row>
    <row r="898" ht="19.5" customHeight="1">
      <c r="N898" s="190"/>
    </row>
    <row r="899" ht="19.5" customHeight="1">
      <c r="N899" s="190"/>
    </row>
    <row r="900" ht="19.5" customHeight="1">
      <c r="N900" s="190"/>
    </row>
    <row r="901" ht="19.5" customHeight="1">
      <c r="N901" s="190"/>
    </row>
    <row r="902" ht="19.5" customHeight="1">
      <c r="N902" s="190"/>
    </row>
    <row r="903" ht="19.5" customHeight="1">
      <c r="N903" s="190"/>
    </row>
    <row r="904" ht="19.5" customHeight="1">
      <c r="N904" s="190"/>
    </row>
    <row r="905" ht="19.5" customHeight="1">
      <c r="N905" s="190"/>
    </row>
    <row r="906" ht="19.5" customHeight="1">
      <c r="N906" s="190"/>
    </row>
    <row r="907" ht="19.5" customHeight="1">
      <c r="N907" s="190"/>
    </row>
    <row r="908" ht="19.5" customHeight="1">
      <c r="N908" s="190"/>
    </row>
    <row r="909" ht="19.5" customHeight="1">
      <c r="N909" s="190"/>
    </row>
    <row r="910" ht="19.5" customHeight="1">
      <c r="N910" s="190"/>
    </row>
    <row r="911" ht="19.5" customHeight="1">
      <c r="N911" s="190"/>
    </row>
    <row r="912" ht="19.5" customHeight="1">
      <c r="N912" s="190"/>
    </row>
    <row r="913" ht="19.5" customHeight="1">
      <c r="N913" s="190"/>
    </row>
    <row r="914" ht="19.5" customHeight="1">
      <c r="N914" s="190"/>
    </row>
    <row r="915" ht="19.5" customHeight="1">
      <c r="N915" s="190"/>
    </row>
    <row r="916" ht="19.5" customHeight="1">
      <c r="N916" s="190"/>
    </row>
    <row r="917" ht="19.5" customHeight="1">
      <c r="N917" s="190"/>
    </row>
    <row r="918" ht="19.5" customHeight="1">
      <c r="N918" s="190"/>
    </row>
    <row r="919" ht="19.5" customHeight="1">
      <c r="N919" s="190"/>
    </row>
    <row r="920" ht="19.5" customHeight="1">
      <c r="N920" s="190"/>
    </row>
    <row r="921" ht="19.5" customHeight="1">
      <c r="N921" s="190"/>
    </row>
    <row r="922" ht="19.5" customHeight="1">
      <c r="N922" s="190"/>
    </row>
    <row r="923" ht="19.5" customHeight="1">
      <c r="N923" s="190"/>
    </row>
    <row r="924" ht="19.5" customHeight="1">
      <c r="N924" s="190"/>
    </row>
    <row r="925" ht="19.5" customHeight="1">
      <c r="N925" s="190"/>
    </row>
    <row r="926" ht="19.5" customHeight="1">
      <c r="N926" s="190"/>
    </row>
    <row r="927" ht="19.5" customHeight="1">
      <c r="N927" s="190"/>
    </row>
    <row r="928" ht="19.5" customHeight="1">
      <c r="N928" s="190"/>
    </row>
    <row r="929" ht="19.5" customHeight="1">
      <c r="N929" s="190"/>
    </row>
    <row r="930" ht="19.5" customHeight="1">
      <c r="N930" s="190"/>
    </row>
    <row r="931" ht="19.5" customHeight="1">
      <c r="N931" s="190"/>
    </row>
    <row r="932" ht="19.5" customHeight="1">
      <c r="N932" s="190"/>
    </row>
    <row r="933" ht="19.5" customHeight="1">
      <c r="N933" s="190"/>
    </row>
    <row r="934" ht="19.5" customHeight="1">
      <c r="N934" s="190"/>
    </row>
    <row r="935" ht="19.5" customHeight="1">
      <c r="N935" s="190"/>
    </row>
    <row r="936" ht="19.5" customHeight="1">
      <c r="N936" s="190"/>
    </row>
    <row r="937" ht="19.5" customHeight="1">
      <c r="N937" s="190"/>
    </row>
    <row r="938" ht="19.5" customHeight="1">
      <c r="N938" s="190"/>
    </row>
    <row r="939" ht="19.5" customHeight="1">
      <c r="N939" s="190"/>
    </row>
    <row r="940" ht="19.5" customHeight="1">
      <c r="N940" s="190"/>
    </row>
    <row r="941" ht="19.5" customHeight="1">
      <c r="N941" s="190"/>
    </row>
    <row r="942" ht="19.5" customHeight="1">
      <c r="N942" s="190"/>
    </row>
    <row r="943" ht="19.5" customHeight="1">
      <c r="N943" s="190"/>
    </row>
    <row r="944" ht="19.5" customHeight="1">
      <c r="N944" s="190"/>
    </row>
    <row r="945" ht="19.5" customHeight="1">
      <c r="N945" s="190"/>
    </row>
    <row r="946" ht="19.5" customHeight="1">
      <c r="N946" s="190"/>
    </row>
    <row r="947" ht="19.5" customHeight="1">
      <c r="N947" s="190"/>
    </row>
    <row r="948" ht="19.5" customHeight="1">
      <c r="N948" s="190"/>
    </row>
    <row r="949" ht="19.5" customHeight="1">
      <c r="N949" s="190"/>
    </row>
    <row r="950" ht="19.5" customHeight="1">
      <c r="N950" s="190"/>
    </row>
    <row r="951" ht="19.5" customHeight="1">
      <c r="N951" s="190"/>
    </row>
    <row r="952" ht="19.5" customHeight="1">
      <c r="N952" s="190"/>
    </row>
    <row r="953" ht="19.5" customHeight="1">
      <c r="N953" s="190"/>
    </row>
    <row r="954" ht="19.5" customHeight="1">
      <c r="N954" s="190"/>
    </row>
    <row r="955" ht="19.5" customHeight="1">
      <c r="N955" s="190"/>
    </row>
    <row r="956" ht="19.5" customHeight="1">
      <c r="N956" s="190"/>
    </row>
    <row r="957" ht="19.5" customHeight="1">
      <c r="N957" s="190"/>
    </row>
    <row r="958" ht="19.5" customHeight="1">
      <c r="N958" s="190"/>
    </row>
    <row r="959" ht="19.5" customHeight="1">
      <c r="N959" s="190"/>
    </row>
    <row r="960" ht="19.5" customHeight="1">
      <c r="N960" s="190"/>
    </row>
    <row r="961" ht="19.5" customHeight="1">
      <c r="N961" s="190"/>
    </row>
    <row r="962" ht="19.5" customHeight="1">
      <c r="N962" s="190"/>
    </row>
    <row r="963" ht="19.5" customHeight="1">
      <c r="N963" s="190"/>
    </row>
    <row r="964" ht="19.5" customHeight="1">
      <c r="N964" s="190"/>
    </row>
    <row r="965" ht="19.5" customHeight="1">
      <c r="N965" s="190"/>
    </row>
    <row r="966" ht="19.5" customHeight="1">
      <c r="N966" s="190"/>
    </row>
    <row r="967" ht="19.5" customHeight="1">
      <c r="N967" s="190"/>
    </row>
    <row r="968" ht="19.5" customHeight="1">
      <c r="N968" s="190"/>
    </row>
    <row r="969" ht="19.5" customHeight="1">
      <c r="N969" s="190"/>
    </row>
    <row r="970" ht="19.5" customHeight="1">
      <c r="N970" s="190"/>
    </row>
    <row r="971" ht="19.5" customHeight="1">
      <c r="N971" s="190"/>
    </row>
    <row r="972" ht="19.5" customHeight="1">
      <c r="N972" s="190"/>
    </row>
    <row r="973" ht="19.5" customHeight="1">
      <c r="N973" s="190"/>
    </row>
    <row r="974" ht="19.5" customHeight="1">
      <c r="N974" s="190"/>
    </row>
    <row r="975" ht="19.5" customHeight="1">
      <c r="N975" s="190"/>
    </row>
    <row r="976" ht="19.5" customHeight="1">
      <c r="N976" s="190"/>
    </row>
    <row r="977" ht="19.5" customHeight="1">
      <c r="N977" s="190"/>
    </row>
    <row r="978" ht="19.5" customHeight="1">
      <c r="N978" s="190"/>
    </row>
    <row r="979" ht="19.5" customHeight="1">
      <c r="N979" s="190"/>
    </row>
    <row r="980" ht="19.5" customHeight="1">
      <c r="N980" s="190"/>
    </row>
    <row r="981" ht="19.5" customHeight="1">
      <c r="N981" s="190"/>
    </row>
    <row r="982" ht="19.5" customHeight="1">
      <c r="N982" s="190"/>
    </row>
    <row r="983" ht="19.5" customHeight="1">
      <c r="N983" s="190"/>
    </row>
    <row r="984" ht="19.5" customHeight="1">
      <c r="N984" s="190"/>
    </row>
    <row r="985" ht="19.5" customHeight="1">
      <c r="N985" s="190"/>
    </row>
    <row r="986" ht="19.5" customHeight="1">
      <c r="N986" s="190"/>
    </row>
    <row r="987" ht="19.5" customHeight="1">
      <c r="N987" s="190"/>
    </row>
    <row r="988" ht="19.5" customHeight="1">
      <c r="N988" s="190"/>
    </row>
    <row r="989" ht="19.5" customHeight="1">
      <c r="N989" s="190"/>
    </row>
    <row r="990" ht="19.5" customHeight="1">
      <c r="N990" s="190"/>
    </row>
    <row r="991" ht="19.5" customHeight="1">
      <c r="N991" s="190"/>
    </row>
    <row r="992" ht="19.5" customHeight="1">
      <c r="N992" s="190"/>
    </row>
    <row r="993" ht="19.5" customHeight="1">
      <c r="N993" s="190"/>
    </row>
    <row r="994" ht="19.5" customHeight="1">
      <c r="N994" s="190"/>
    </row>
    <row r="995" ht="19.5" customHeight="1">
      <c r="N995" s="190"/>
    </row>
    <row r="996" ht="19.5" customHeight="1">
      <c r="N996" s="190"/>
    </row>
    <row r="997" ht="19.5" customHeight="1">
      <c r="N997" s="190"/>
    </row>
    <row r="998" ht="19.5" customHeight="1">
      <c r="N998" s="190"/>
    </row>
    <row r="999" ht="19.5" customHeight="1">
      <c r="N999" s="190"/>
    </row>
    <row r="1000" ht="19.5" customHeight="1">
      <c r="N1000" s="190"/>
    </row>
  </sheetData>
  <mergeCells count="18">
    <mergeCell ref="F15:H15"/>
    <mergeCell ref="F16:H16"/>
    <mergeCell ref="I24:I26"/>
    <mergeCell ref="D7:F7"/>
    <mergeCell ref="D11:F11"/>
    <mergeCell ref="C28:E28"/>
    <mergeCell ref="C27:E27"/>
    <mergeCell ref="C30:E30"/>
    <mergeCell ref="C24:E26"/>
    <mergeCell ref="G24:G26"/>
    <mergeCell ref="F24:F26"/>
    <mergeCell ref="D3:F3"/>
    <mergeCell ref="G4:G6"/>
    <mergeCell ref="K4:K6"/>
    <mergeCell ref="C4:C6"/>
    <mergeCell ref="F17:H17"/>
    <mergeCell ref="F18:H18"/>
    <mergeCell ref="F14:H14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8.33"/>
    <col customWidth="1" min="2" max="6" width="8.44"/>
  </cols>
  <sheetData>
    <row r="1">
      <c r="A1" s="223" t="s">
        <v>66</v>
      </c>
      <c r="B1" s="224">
        <v>825.0</v>
      </c>
      <c r="C1" s="224">
        <v>1125.0</v>
      </c>
      <c r="D1" s="224">
        <v>1200.0</v>
      </c>
      <c r="E1" s="224">
        <v>1500.0</v>
      </c>
      <c r="F1" s="224">
        <v>1800.0</v>
      </c>
    </row>
    <row r="2">
      <c r="A2" s="225" t="s">
        <v>37</v>
      </c>
      <c r="B2" s="226">
        <f>'OD 0825'!I14</f>
        <v>0.01676300056</v>
      </c>
      <c r="C2" s="226">
        <f>'OD 1125'!I14</f>
        <v>0.08896591526</v>
      </c>
      <c r="D2" s="226">
        <f>'OD 1200'!I14</f>
        <v>0.04626682814</v>
      </c>
      <c r="E2" s="226">
        <f>'OD 1500'!I14</f>
        <v>0.1406704553</v>
      </c>
      <c r="F2" s="226">
        <f>'OD 1800'!I14</f>
        <v>0.03827719758</v>
      </c>
    </row>
    <row r="3">
      <c r="A3" s="225" t="s">
        <v>39</v>
      </c>
      <c r="B3" s="226">
        <f>'OD 0825'!I15</f>
        <v>0.1381487804</v>
      </c>
      <c r="C3" s="226">
        <f>'OD 1125'!I15</f>
        <v>0.1219490765</v>
      </c>
      <c r="D3" s="226">
        <f>'OD 1200'!I15</f>
        <v>0.1098072989</v>
      </c>
      <c r="E3" s="226">
        <f>'OD 1500'!I15</f>
        <v>0.08435876906</v>
      </c>
      <c r="F3" s="226">
        <f>'OD 1800'!I15</f>
        <v>0.1393379626</v>
      </c>
    </row>
    <row r="4">
      <c r="A4" s="225" t="s">
        <v>43</v>
      </c>
      <c r="B4" s="226">
        <f>'OD 0825'!I17</f>
        <v>0.8124742888</v>
      </c>
      <c r="C4" s="226">
        <f>'OD 1125'!I17</f>
        <v>0.4052704834</v>
      </c>
      <c r="D4" s="226">
        <f>'OD 1200'!I17</f>
        <v>0.5554136791</v>
      </c>
      <c r="E4" s="226">
        <f>'OD 1500'!I17</f>
        <v>0.4299218273</v>
      </c>
      <c r="F4" s="226">
        <f>'OD 1800'!I17</f>
        <v>0.1320047586</v>
      </c>
    </row>
    <row r="5">
      <c r="A5" s="225" t="s">
        <v>46</v>
      </c>
      <c r="B5" s="226">
        <f>'OD 0825'!I18</f>
        <v>0.03261393024</v>
      </c>
      <c r="C5" s="226">
        <f>'OD 1125'!I18</f>
        <v>0.3838145249</v>
      </c>
      <c r="D5" s="226">
        <f>'OD 1200'!I18</f>
        <v>0.2885121939</v>
      </c>
      <c r="E5" s="226">
        <f>'OD 1500'!I18</f>
        <v>0.3450489484</v>
      </c>
      <c r="F5" s="226">
        <f>'OD 1800'!I18</f>
        <v>0.6903800812</v>
      </c>
    </row>
    <row r="6">
      <c r="A6" s="225"/>
      <c r="B6" s="225"/>
      <c r="C6" s="225"/>
      <c r="D6" s="225"/>
      <c r="E6" s="225"/>
      <c r="F6" s="225"/>
    </row>
    <row r="7">
      <c r="A7" s="225"/>
      <c r="B7" s="225"/>
      <c r="C7" s="225"/>
      <c r="D7" s="225"/>
      <c r="E7" s="225"/>
      <c r="F7" s="225"/>
    </row>
    <row r="8">
      <c r="A8" s="225"/>
      <c r="B8" s="224">
        <v>825.0</v>
      </c>
      <c r="C8" s="224">
        <v>1125.0</v>
      </c>
      <c r="D8" s="224">
        <v>1200.0</v>
      </c>
      <c r="E8" s="224">
        <v>1500.0</v>
      </c>
      <c r="F8" s="224">
        <v>1800.0</v>
      </c>
    </row>
    <row r="9">
      <c r="A9" s="225" t="s">
        <v>41</v>
      </c>
      <c r="B9" s="227">
        <f>'OD 0825'!I16</f>
        <v>0.1549117809</v>
      </c>
      <c r="C9" s="227">
        <f>'OD 1125'!I16</f>
        <v>0.2109149917</v>
      </c>
      <c r="D9" s="227">
        <f>'OD 1200'!I16</f>
        <v>0.156074127</v>
      </c>
      <c r="E9" s="227">
        <f>'OD 1500'!I16</f>
        <v>0.2250292243</v>
      </c>
      <c r="F9" s="227">
        <f>'OD 1800'!I16</f>
        <v>0.1776151601</v>
      </c>
    </row>
    <row r="10">
      <c r="A10" s="225" t="s">
        <v>48</v>
      </c>
      <c r="B10" s="227">
        <f>'OD 0825'!I19</f>
        <v>0.8450882191</v>
      </c>
      <c r="C10" s="227">
        <f>'OD 1125'!I19</f>
        <v>0.7890850083</v>
      </c>
      <c r="D10" s="227">
        <f>'OD 1200'!I19</f>
        <v>0.843925873</v>
      </c>
      <c r="E10" s="227">
        <f>'OD 1500'!I19</f>
        <v>0.7749707757</v>
      </c>
      <c r="F10" s="227">
        <f>'OD 1800'!I19</f>
        <v>0.8223848399</v>
      </c>
    </row>
    <row r="11">
      <c r="A11" s="228" t="s">
        <v>67</v>
      </c>
      <c r="B11" s="227">
        <f t="shared" ref="B11:F11" si="1">sum(B3:B5)</f>
        <v>0.9832369994</v>
      </c>
      <c r="C11" s="227">
        <f t="shared" si="1"/>
        <v>0.9110340847</v>
      </c>
      <c r="D11" s="227">
        <f t="shared" si="1"/>
        <v>0.9537331719</v>
      </c>
      <c r="E11" s="227">
        <f t="shared" si="1"/>
        <v>0.8593295447</v>
      </c>
      <c r="F11" s="227">
        <f t="shared" si="1"/>
        <v>0.9617228024</v>
      </c>
    </row>
    <row r="12">
      <c r="A12" s="229" t="s">
        <v>68</v>
      </c>
      <c r="B12" s="230">
        <f t="shared" ref="B12:F12" si="2">B17*B11</f>
        <v>581.2810688</v>
      </c>
      <c r="C12" s="230">
        <f t="shared" si="2"/>
        <v>442.3673616</v>
      </c>
      <c r="D12" s="230">
        <f t="shared" si="2"/>
        <v>540.5082186</v>
      </c>
      <c r="E12" s="230">
        <f t="shared" si="2"/>
        <v>446.1396951</v>
      </c>
      <c r="F12" s="230">
        <f t="shared" si="2"/>
        <v>450.1274085</v>
      </c>
    </row>
    <row r="13">
      <c r="A13" s="225"/>
      <c r="B13" s="225"/>
      <c r="C13" s="225"/>
      <c r="D13" s="225"/>
      <c r="E13" s="225"/>
      <c r="F13" s="225"/>
    </row>
    <row r="14">
      <c r="A14" s="225"/>
      <c r="B14" s="224">
        <v>825.0</v>
      </c>
      <c r="C14" s="224">
        <v>1125.0</v>
      </c>
      <c r="D14" s="224">
        <v>1200.0</v>
      </c>
      <c r="E14" s="224">
        <v>1500.0</v>
      </c>
      <c r="F14" s="224">
        <v>1800.0</v>
      </c>
    </row>
    <row r="15">
      <c r="A15" s="225" t="s">
        <v>50</v>
      </c>
      <c r="B15" s="231">
        <f>'OD 0825'!I20</f>
        <v>461.0465869</v>
      </c>
      <c r="C15" s="231">
        <f>'OD 1125'!I20</f>
        <v>10.41828829</v>
      </c>
      <c r="D15" s="231">
        <f>'OD 1200'!I20</f>
        <v>151.2608039</v>
      </c>
      <c r="E15" s="231">
        <f>'OD 1500'!I20</f>
        <v>44.06360813</v>
      </c>
      <c r="F15" s="231">
        <f>'OD 1800'!I20</f>
        <v>-261.3435351</v>
      </c>
      <c r="G15" s="232">
        <f>sum(B15:F15)</f>
        <v>405.4457522</v>
      </c>
    </row>
    <row r="16">
      <c r="A16" s="225"/>
      <c r="B16" s="225"/>
      <c r="C16" s="225"/>
      <c r="D16" s="225"/>
      <c r="E16" s="225"/>
      <c r="F16" s="225"/>
    </row>
    <row r="17">
      <c r="A17" s="228" t="s">
        <v>51</v>
      </c>
      <c r="B17" s="231">
        <f>'OD 0825'!D14</f>
        <v>591.1912073</v>
      </c>
      <c r="C17" s="231">
        <f>'OD 1125'!D14</f>
        <v>485.5662033</v>
      </c>
      <c r="D17" s="231">
        <f>'OD 1200'!D14</f>
        <v>566.7289705</v>
      </c>
      <c r="E17" s="231">
        <f>'OD 1500'!D14</f>
        <v>519.1718332</v>
      </c>
      <c r="F17" s="231">
        <f>'OD 1800'!D14</f>
        <v>468.0427743</v>
      </c>
      <c r="G17" s="232">
        <f>sum(B17:F17)</f>
        <v>2630.700989</v>
      </c>
    </row>
  </sheetData>
  <drawing r:id="rId1"/>
</worksheet>
</file>