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集計" sheetId="1" r:id="rId3"/>
    <sheet state="visible" name="0D 0825" sheetId="2" r:id="rId4"/>
    <sheet state="visible" name="0D 1125" sheetId="3" r:id="rId5"/>
    <sheet state="visible" name="0D 1200" sheetId="4" r:id="rId6"/>
    <sheet state="visible" name="OD 1500" sheetId="5" r:id="rId7"/>
    <sheet state="visible" name="OD 1800" sheetId="6" r:id="rId8"/>
    <sheet state="visible" name="分析" sheetId="7" r:id="rId9"/>
  </sheets>
  <definedNames/>
  <calcPr/>
</workbook>
</file>

<file path=xl/sharedStrings.xml><?xml version="1.0" encoding="utf-8"?>
<sst xmlns="http://schemas.openxmlformats.org/spreadsheetml/2006/main" count="415" uniqueCount="70">
  <si>
    <t>5/10(金)</t>
  </si>
  <si>
    <t>着</t>
  </si>
  <si>
    <t>発\着</t>
  </si>
  <si>
    <t>図書館</t>
  </si>
  <si>
    <t>会館</t>
  </si>
  <si>
    <t>2外</t>
  </si>
  <si>
    <t>3外</t>
  </si>
  <si>
    <t>一の矢</t>
  </si>
  <si>
    <t>計</t>
  </si>
  <si>
    <t>1学方面 &gt; 2学方面</t>
  </si>
  <si>
    <t>発</t>
  </si>
  <si>
    <t>2学方面 &gt; 1学方面</t>
  </si>
  <si>
    <t>最大</t>
  </si>
  <si>
    <t>最小</t>
  </si>
  <si>
    <t>平均</t>
  </si>
  <si>
    <t>標準偏差</t>
  </si>
  <si>
    <t>3学方面 &gt; 1学方面</t>
  </si>
  <si>
    <t>1学方面 &gt; 3学方面</t>
  </si>
  <si>
    <t>2学方面 &gt; 3学方面</t>
  </si>
  <si>
    <t>3学方面 &gt; 2学方面</t>
  </si>
  <si>
    <t>2学入</t>
  </si>
  <si>
    <t>ア</t>
  </si>
  <si>
    <t>2学出</t>
  </si>
  <si>
    <t>イ</t>
  </si>
  <si>
    <t>3学入</t>
  </si>
  <si>
    <t>3学出</t>
  </si>
  <si>
    <t>会館 &gt; 1学 &gt;図書館(通過)</t>
  </si>
  <si>
    <t>会館 &gt; 1学駐輪(分岐)</t>
  </si>
  <si>
    <t>1学 &gt; 図書館</t>
  </si>
  <si>
    <t>図書館 &gt; 1学</t>
  </si>
  <si>
    <t>1学駐輪in</t>
  </si>
  <si>
    <t>1学 &gt; 会館</t>
  </si>
  <si>
    <t>一の矢入</t>
  </si>
  <si>
    <t>一の矢出</t>
  </si>
  <si>
    <t>2学駐輪in</t>
  </si>
  <si>
    <t>2学駐輪out</t>
  </si>
  <si>
    <t>総トリップ数1</t>
  </si>
  <si>
    <t>縦</t>
  </si>
  <si>
    <t>総トリップ縦</t>
  </si>
  <si>
    <t>内々トリップ率</t>
  </si>
  <si>
    <t>総トリップ数2</t>
  </si>
  <si>
    <t>1学通過比率</t>
  </si>
  <si>
    <t>2学通過比率</t>
  </si>
  <si>
    <t>3学通過比率</t>
  </si>
  <si>
    <t>図書館通過比率</t>
  </si>
  <si>
    <t>通過交通率</t>
  </si>
  <si>
    <t>(内々+通過)率</t>
  </si>
  <si>
    <t>アクセス率</t>
  </si>
  <si>
    <t>修正あり</t>
  </si>
  <si>
    <t>イグレス率</t>
  </si>
  <si>
    <t>(アクセス+イグレス)率</t>
  </si>
  <si>
    <t>エリア内自転車増加量</t>
  </si>
  <si>
    <t>3学駐輪in</t>
  </si>
  <si>
    <t>自転車増加量</t>
  </si>
  <si>
    <t>外</t>
  </si>
  <si>
    <t>断面総数 1-2</t>
  </si>
  <si>
    <t>断面総数 1-3</t>
  </si>
  <si>
    <t>断面総数 2-3</t>
  </si>
  <si>
    <t>断面総数 2外出入</t>
  </si>
  <si>
    <t>断面総数 3外出入</t>
  </si>
  <si>
    <t>断面総数 一の矢</t>
  </si>
  <si>
    <t>断面総数 1-図書館</t>
  </si>
  <si>
    <t>断面総数 1-会館</t>
  </si>
  <si>
    <t>断面総数 2学出入</t>
  </si>
  <si>
    <t>1＞会館</t>
  </si>
  <si>
    <t>割合</t>
  </si>
  <si>
    <t>会館＞1</t>
  </si>
  <si>
    <t>(通過+ｱｸｾｽ+ｲｸﾞﾚｽ)率</t>
  </si>
  <si>
    <t>(通過+ｱｸｾｽ+ｲｸﾞﾚｽ)数</t>
  </si>
  <si>
    <t>総トリップ数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</si>
</sst>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%"/>
    <numFmt numFmtId="166" formatCode="0.000"/>
  </numFmts>
  <fonts count="16">
    <font>
      <sz val="12.0"/>
      <color rgb="FF000000"/>
      <name val="游ゴシック"/>
    </font>
    <font>
      <sz val="12.0"/>
      <name val="游ゴシック"/>
    </font>
    <font>
      <b/>
      <sz val="12.0"/>
      <color rgb="FF000000"/>
      <name val="游ゴシック"/>
    </font>
    <font>
      <sz val="12.0"/>
      <color rgb="FFFF0000"/>
      <name val="游ゴシック"/>
    </font>
    <font>
      <sz val="12.0"/>
      <color rgb="FFFFC000"/>
      <name val="游ゴシック"/>
    </font>
    <font>
      <sz val="12.0"/>
      <color rgb="FF00B050"/>
      <name val="游ゴシック"/>
    </font>
    <font>
      <sz val="12.0"/>
      <color rgb="FF0070C0"/>
      <name val="游ゴシック"/>
    </font>
    <font/>
    <font>
      <sz val="12.0"/>
      <color rgb="FF7030A0"/>
      <name val="游ゴシック"/>
    </font>
    <font>
      <sz val="12.0"/>
      <color rgb="FFB7B7B7"/>
      <name val="游ゴシック"/>
    </font>
    <font>
      <sz val="12.0"/>
      <color rgb="FFCCCCCC"/>
      <name val="游ゴシック"/>
    </font>
    <font>
      <sz val="11.0"/>
      <color rgb="FF000000"/>
      <name val="Inconsolata"/>
    </font>
    <font>
      <color rgb="FF00B050"/>
    </font>
    <font>
      <b/>
    </font>
    <font>
      <color rgb="FFFF0000"/>
    </font>
    <font>
      <b/>
      <sz val="12.0"/>
      <name val="游ゴシック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E7E6E6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2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</border>
    <border>
      <right style="thin">
        <color rgb="FF000000"/>
      </right>
      <bottom/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/>
    </border>
    <border>
      <right/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3" fillId="0" fontId="3" numFmtId="0" xfId="0" applyAlignment="1" applyBorder="1" applyFont="1">
      <alignment horizontal="right" vertical="center"/>
    </xf>
    <xf borderId="4" fillId="0" fontId="1" numFmtId="0" xfId="0" applyAlignment="1" applyBorder="1" applyFont="1">
      <alignment vertical="center"/>
    </xf>
    <xf borderId="5" fillId="0" fontId="2" numFmtId="0" xfId="0" applyAlignment="1" applyBorder="1" applyFont="1">
      <alignment readingOrder="0" vertical="center"/>
    </xf>
    <xf borderId="5" fillId="0" fontId="3" numFmtId="0" xfId="0" applyAlignment="1" applyBorder="1" applyFont="1">
      <alignment horizontal="right" vertical="center"/>
    </xf>
    <xf borderId="3" fillId="0" fontId="4" numFmtId="0" xfId="0" applyAlignment="1" applyBorder="1" applyFont="1">
      <alignment horizontal="right" vertical="center"/>
    </xf>
    <xf borderId="2" fillId="0" fontId="2" numFmtId="0" xfId="0" applyAlignment="1" applyBorder="1" applyFont="1">
      <alignment horizontal="center" readingOrder="0" vertical="center"/>
    </xf>
    <xf borderId="6" fillId="0" fontId="0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vertical="center"/>
    </xf>
    <xf borderId="4" fillId="0" fontId="3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right" vertical="center"/>
    </xf>
    <xf borderId="3" fillId="0" fontId="6" numFmtId="0" xfId="0" applyAlignment="1" applyBorder="1" applyFont="1">
      <alignment horizontal="right" vertical="center"/>
    </xf>
    <xf borderId="5" fillId="0" fontId="4" numFmtId="0" xfId="0" applyAlignment="1" applyBorder="1" applyFont="1">
      <alignment horizontal="right" vertical="center"/>
    </xf>
    <xf borderId="4" fillId="0" fontId="4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center" vertical="center"/>
    </xf>
    <xf borderId="7" fillId="2" fontId="1" numFmtId="0" xfId="0" applyAlignment="1" applyBorder="1" applyFill="1" applyFont="1">
      <alignment vertical="center"/>
    </xf>
    <xf borderId="1" fillId="3" fontId="0" numFmtId="164" xfId="0" applyAlignment="1" applyBorder="1" applyFill="1" applyFont="1" applyNumberFormat="1">
      <alignment horizontal="center" vertical="center"/>
    </xf>
    <xf borderId="1" fillId="0" fontId="7" numFmtId="0" xfId="0" applyAlignment="1" applyBorder="1" applyFont="1">
      <alignment vertical="center"/>
    </xf>
    <xf borderId="7" fillId="0" fontId="7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7" fillId="4" fontId="0" numFmtId="164" xfId="0" applyAlignment="1" applyBorder="1" applyFill="1" applyFont="1" applyNumberFormat="1">
      <alignment horizontal="center" vertical="center"/>
    </xf>
    <xf borderId="8" fillId="4" fontId="0" numFmtId="164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right" vertical="center"/>
    </xf>
    <xf borderId="9" fillId="5" fontId="1" numFmtId="0" xfId="0" applyAlignment="1" applyBorder="1" applyFill="1" applyFont="1">
      <alignment vertical="center"/>
    </xf>
    <xf borderId="10" fillId="0" fontId="0" numFmtId="0" xfId="0" applyAlignment="1" applyBorder="1" applyFont="1">
      <alignment vertical="center"/>
    </xf>
    <xf borderId="4" fillId="3" fontId="2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readingOrder="0" vertical="center"/>
    </xf>
    <xf borderId="11" fillId="6" fontId="1" numFmtId="0" xfId="0" applyAlignment="1" applyBorder="1" applyFill="1" applyFont="1">
      <alignment vertical="center"/>
    </xf>
    <xf borderId="4" fillId="0" fontId="6" numFmtId="0" xfId="0" applyAlignment="1" applyBorder="1" applyFont="1">
      <alignment horizontal="center" vertical="center"/>
    </xf>
    <xf borderId="12" fillId="6" fontId="1" numFmtId="0" xfId="0" applyAlignment="1" applyBorder="1" applyFont="1">
      <alignment vertical="center"/>
    </xf>
    <xf borderId="13" fillId="0" fontId="8" numFmtId="0" xfId="0" applyAlignment="1" applyBorder="1" applyFont="1">
      <alignment horizontal="center" vertical="center"/>
    </xf>
    <xf borderId="14" fillId="5" fontId="1" numFmtId="0" xfId="0" applyAlignment="1" applyBorder="1" applyFont="1">
      <alignment vertical="center"/>
    </xf>
    <xf borderId="4" fillId="3" fontId="0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7" fontId="0" numFmtId="164" xfId="0" applyAlignment="1" applyBorder="1" applyFill="1" applyFont="1" applyNumberFormat="1">
      <alignment horizontal="center" vertical="center"/>
    </xf>
    <xf borderId="4" fillId="0" fontId="0" numFmtId="164" xfId="0" applyAlignment="1" applyBorder="1" applyFont="1" applyNumberFormat="1">
      <alignment horizontal="center" vertical="center"/>
    </xf>
    <xf borderId="4" fillId="0" fontId="7" numFmtId="0" xfId="0" applyAlignment="1" applyBorder="1" applyFont="1">
      <alignment vertical="center"/>
    </xf>
    <xf borderId="15" fillId="6" fontId="1" numFmtId="0" xfId="0" applyAlignment="1" applyBorder="1" applyFont="1">
      <alignment vertical="center"/>
    </xf>
    <xf borderId="0" fillId="6" fontId="1" numFmtId="0" xfId="0" applyAlignment="1" applyFont="1">
      <alignment vertical="center"/>
    </xf>
    <xf borderId="4" fillId="0" fontId="3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center" readingOrder="0" vertical="center"/>
    </xf>
    <xf borderId="13" fillId="0" fontId="8" numFmtId="0" xfId="0" applyAlignment="1" applyBorder="1" applyFont="1">
      <alignment horizontal="center" readingOrder="0" vertical="center"/>
    </xf>
    <xf borderId="4" fillId="0" fontId="0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7" fillId="7" fontId="0" numFmtId="0" xfId="0" applyAlignment="1" applyBorder="1" applyFont="1">
      <alignment horizontal="center" vertical="center"/>
    </xf>
    <xf borderId="4" fillId="0" fontId="9" numFmtId="0" xfId="0" applyAlignment="1" applyBorder="1" applyFont="1">
      <alignment vertical="center"/>
    </xf>
    <xf borderId="16" fillId="0" fontId="0" numFmtId="0" xfId="0" applyAlignment="1" applyBorder="1" applyFont="1">
      <alignment vertical="center"/>
    </xf>
    <xf borderId="7" fillId="2" fontId="1" numFmtId="164" xfId="0" applyAlignment="1" applyBorder="1" applyFont="1" applyNumberFormat="1">
      <alignment vertical="center"/>
    </xf>
    <xf borderId="6" fillId="0" fontId="3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vertical="center"/>
    </xf>
    <xf borderId="6" fillId="4" fontId="0" numFmtId="164" xfId="0" applyAlignment="1" applyBorder="1" applyFont="1" applyNumberFormat="1">
      <alignment horizontal="center" vertical="center"/>
    </xf>
    <xf borderId="17" fillId="0" fontId="8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8" fillId="0" fontId="1" numFmtId="0" xfId="0" applyAlignment="1" applyBorder="1" applyFont="1">
      <alignment vertical="center"/>
    </xf>
    <xf borderId="17" fillId="2" fontId="1" numFmtId="0" xfId="0" applyAlignment="1" applyBorder="1" applyFont="1">
      <alignment vertical="center"/>
    </xf>
    <xf borderId="0" fillId="0" fontId="0" numFmtId="164" xfId="0" applyAlignment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1" fillId="7" fontId="0" numFmtId="164" xfId="0" applyAlignment="1" applyBorder="1" applyFont="1" applyNumberForma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7" fillId="0" fontId="1" numFmtId="164" xfId="0" applyAlignment="1" applyBorder="1" applyFont="1" applyNumberFormat="1">
      <alignment vertical="center"/>
    </xf>
    <xf borderId="4" fillId="0" fontId="5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shrinkToFit="0" vertical="center" wrapText="0"/>
    </xf>
    <xf borderId="4" fillId="0" fontId="1" numFmtId="164" xfId="0" applyAlignment="1" applyBorder="1" applyFont="1" applyNumberFormat="1">
      <alignment horizontal="center" vertical="center"/>
    </xf>
    <xf borderId="4" fillId="0" fontId="6" numFmtId="164" xfId="0" applyAlignment="1" applyBorder="1" applyFont="1" applyNumberFormat="1">
      <alignment horizontal="center" vertical="center"/>
    </xf>
    <xf borderId="4" fillId="0" fontId="8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4" fillId="0" fontId="1" numFmtId="2" xfId="0" applyAlignment="1" applyBorder="1" applyFont="1" applyNumberForma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vertical="center"/>
    </xf>
    <xf borderId="4" fillId="0" fontId="4" numFmtId="2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vertical="center"/>
    </xf>
    <xf borderId="4" fillId="0" fontId="5" numFmtId="2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vertical="center"/>
    </xf>
    <xf borderId="4" fillId="0" fontId="6" numFmtId="2" xfId="0" applyAlignment="1" applyBorder="1" applyFont="1" applyNumberFormat="1">
      <alignment horizontal="center" vertical="center"/>
    </xf>
    <xf borderId="7" fillId="0" fontId="1" numFmtId="2" xfId="0" applyAlignment="1" applyBorder="1" applyFont="1" applyNumberFormat="1">
      <alignment horizontal="center" vertical="center"/>
    </xf>
    <xf borderId="4" fillId="0" fontId="8" numFmtId="2" xfId="0" applyAlignment="1" applyBorder="1" applyFont="1" applyNumberFormat="1">
      <alignment horizontal="center" vertical="center"/>
    </xf>
    <xf borderId="19" fillId="0" fontId="0" numFmtId="0" xfId="0" applyAlignment="1" applyBorder="1" applyFont="1">
      <alignment shrinkToFit="0" vertical="center" wrapText="0"/>
    </xf>
    <xf borderId="4" fillId="0" fontId="0" numFmtId="2" xfId="0" applyAlignment="1" applyBorder="1" applyFont="1" applyNumberFormat="1">
      <alignment horizontal="center" vertical="center"/>
    </xf>
    <xf borderId="14" fillId="7" fontId="1" numFmtId="0" xfId="0" applyAlignment="1" applyBorder="1" applyFont="1">
      <alignment vertical="center"/>
    </xf>
    <xf borderId="0" fillId="0" fontId="7" numFmtId="0" xfId="0" applyAlignment="1" applyFont="1">
      <alignment readingOrder="0" vertical="center"/>
    </xf>
    <xf borderId="20" fillId="0" fontId="0" numFmtId="0" xfId="0" applyAlignment="1" applyBorder="1" applyFont="1">
      <alignment shrinkToFit="0" vertical="center" wrapText="0"/>
    </xf>
    <xf borderId="7" fillId="0" fontId="1" numFmtId="2" xfId="0" applyAlignment="1" applyBorder="1" applyFont="1" applyNumberFormat="1">
      <alignment vertical="center"/>
    </xf>
    <xf borderId="7" fillId="0" fontId="3" numFmtId="2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vertical="center"/>
    </xf>
    <xf borderId="7" fillId="7" fontId="1" numFmtId="2" xfId="0" applyAlignment="1" applyBorder="1" applyFont="1" applyNumberFormat="1">
      <alignment vertical="center"/>
    </xf>
    <xf borderId="20" fillId="0" fontId="1" numFmtId="0" xfId="0" applyAlignment="1" applyBorder="1" applyFont="1">
      <alignment vertical="center"/>
    </xf>
    <xf borderId="0" fillId="0" fontId="0" numFmtId="0" xfId="0" applyAlignment="1" applyFont="1">
      <alignment shrinkToFit="0" vertical="center" wrapText="0"/>
    </xf>
    <xf borderId="21" fillId="0" fontId="3" numFmtId="2" xfId="0" applyAlignment="1" applyBorder="1" applyFont="1" applyNumberFormat="1">
      <alignment horizontal="center" vertical="center"/>
    </xf>
    <xf borderId="7" fillId="0" fontId="0" numFmtId="0" xfId="0" applyAlignment="1" applyBorder="1" applyFont="1">
      <alignment vertical="center"/>
    </xf>
    <xf borderId="7" fillId="0" fontId="3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  <xf borderId="1" fillId="0" fontId="3" numFmtId="164" xfId="0" applyAlignment="1" applyBorder="1" applyFont="1" applyNumberFormat="1">
      <alignment horizontal="center" vertical="center"/>
    </xf>
    <xf borderId="0" fillId="6" fontId="0" numFmtId="0" xfId="0" applyAlignment="1" applyFont="1">
      <alignment horizontal="center" vertical="center"/>
    </xf>
    <xf borderId="13" fillId="0" fontId="7" numFmtId="0" xfId="0" applyAlignment="1" applyBorder="1" applyFont="1">
      <alignment vertical="center"/>
    </xf>
    <xf borderId="4" fillId="3" fontId="1" numFmtId="164" xfId="0" applyAlignment="1" applyBorder="1" applyFont="1" applyNumberFormat="1">
      <alignment horizontal="center" vertical="center"/>
    </xf>
    <xf borderId="8" fillId="4" fontId="1" numFmtId="164" xfId="0" applyAlignment="1" applyBorder="1" applyFont="1" applyNumberFormat="1">
      <alignment horizontal="center" vertical="center"/>
    </xf>
    <xf borderId="4" fillId="7" fontId="11" numFmtId="164" xfId="0" applyAlignment="1" applyBorder="1" applyFont="1" applyNumberFormat="1">
      <alignment horizontal="center" vertical="center"/>
    </xf>
    <xf borderId="22" fillId="0" fontId="7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6" fillId="0" fontId="7" numFmtId="0" xfId="0" applyAlignment="1" applyBorder="1" applyFont="1">
      <alignment vertical="center"/>
    </xf>
    <xf borderId="8" fillId="0" fontId="1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1" fillId="3" fontId="1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8" fillId="0" fontId="7" numFmtId="0" xfId="0" applyAlignment="1" applyBorder="1" applyFont="1">
      <alignment vertical="center"/>
    </xf>
    <xf borderId="0" fillId="0" fontId="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0" fillId="0" fontId="0" numFmtId="2" xfId="0" applyAlignment="1" applyFont="1" applyNumberFormat="1">
      <alignment horizontal="center" vertical="center"/>
    </xf>
    <xf borderId="6" fillId="4" fontId="1" numFmtId="164" xfId="0" applyAlignment="1" applyBorder="1" applyFont="1" applyNumberFormat="1">
      <alignment horizontal="center" vertical="center"/>
    </xf>
    <xf borderId="17" fillId="4" fontId="1" numFmtId="164" xfId="0" applyAlignment="1" applyBorder="1" applyFont="1" applyNumberFormat="1">
      <alignment horizontal="center" vertical="center"/>
    </xf>
    <xf borderId="7" fillId="7" fontId="11" numFmtId="164" xfId="0" applyAlignment="1" applyBorder="1" applyFont="1" applyNumberFormat="1">
      <alignment horizontal="center" vertical="center"/>
    </xf>
    <xf borderId="1" fillId="7" fontId="11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vertical="center"/>
    </xf>
    <xf borderId="5" fillId="0" fontId="5" numFmtId="0" xfId="0" applyAlignment="1" applyBorder="1" applyFont="1">
      <alignment horizontal="right" vertical="center"/>
    </xf>
    <xf borderId="7" fillId="0" fontId="5" numFmtId="0" xfId="0" applyAlignment="1" applyBorder="1" applyFont="1">
      <alignment horizontal="center" vertical="center"/>
    </xf>
    <xf borderId="1" fillId="0" fontId="5" numFmtId="164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right" vertical="center"/>
    </xf>
    <xf borderId="5" fillId="0" fontId="8" numFmtId="0" xfId="0" applyAlignment="1" applyBorder="1" applyFont="1">
      <alignment horizontal="right" vertical="center"/>
    </xf>
    <xf borderId="7" fillId="0" fontId="15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1" fillId="0" fontId="15" numFmtId="0" xfId="0" applyAlignment="1" applyBorder="1" applyFont="1">
      <alignment horizontal="right" vertical="center"/>
    </xf>
    <xf borderId="0" fillId="0" fontId="1" numFmtId="165" xfId="0" applyAlignment="1" applyFont="1" applyNumberFormat="1">
      <alignment horizontal="right" vertical="center"/>
    </xf>
    <xf borderId="0" fillId="0" fontId="1" numFmtId="2" xfId="0" applyAlignment="1" applyFont="1" applyNumberFormat="1">
      <alignment horizontal="right" vertical="center"/>
    </xf>
    <xf borderId="0" fillId="0" fontId="1" numFmtId="166" xfId="0" applyAlignment="1" applyFont="1" applyNumberFormat="1">
      <alignment horizontal="right" vertical="center"/>
    </xf>
    <xf borderId="0" fillId="8" fontId="1" numFmtId="0" xfId="0" applyAlignment="1" applyFill="1" applyFont="1">
      <alignment vertical="center"/>
    </xf>
    <xf borderId="0" fillId="8" fontId="1" numFmtId="1" xfId="0" applyAlignment="1" applyFont="1" applyNumberFormat="1">
      <alignment horizontal="right" vertical="center"/>
    </xf>
    <xf borderId="0" fillId="0" fontId="7" numFmtId="2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'分析'!$B$9:$F$9</c:f>
            </c:numRef>
          </c:val>
          <c:smooth val="0"/>
        </c:ser>
        <c:ser>
          <c:idx val="1"/>
          <c:order val="1"/>
          <c:tx>
            <c:strRef>
              <c:f>'分析'!$A$10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'分析'!$B$10:$F$10</c:f>
            </c:numRef>
          </c:val>
          <c:smooth val="0"/>
        </c:ser>
        <c:ser>
          <c:idx val="2"/>
          <c:order val="2"/>
          <c:tx>
            <c:strRef>
              <c:f>'分析'!$A$11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'分析'!$B$11:$F$11</c:f>
            </c:numRef>
          </c:val>
          <c:smooth val="0"/>
        </c:ser>
        <c:axId val="523147902"/>
        <c:axId val="1066851134"/>
      </c:lineChart>
      <c:catAx>
        <c:axId val="52314790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066851134"/>
      </c:catAx>
      <c:valAx>
        <c:axId val="10668511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23147902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'分析'!$B$2:$F$2</c:f>
            </c:numRef>
          </c:val>
          <c:smooth val="0"/>
        </c:ser>
        <c:ser>
          <c:idx val="1"/>
          <c:order val="1"/>
          <c:tx>
            <c:strRef>
              <c:f>'分析'!$A$3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'分析'!$B$3:$F$3</c:f>
            </c:numRef>
          </c:val>
          <c:smooth val="0"/>
        </c:ser>
        <c:ser>
          <c:idx val="2"/>
          <c:order val="2"/>
          <c:tx>
            <c:strRef>
              <c:f>'分析'!$A$4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'分析'!$B$4:$F$4</c:f>
            </c:numRef>
          </c:val>
          <c:smooth val="0"/>
        </c:ser>
        <c:ser>
          <c:idx val="3"/>
          <c:order val="3"/>
          <c:tx>
            <c:strRef>
              <c:f>'分析'!$A$5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'分析'!$B$5:$F$5</c:f>
            </c:numRef>
          </c:val>
          <c:smooth val="0"/>
        </c:ser>
        <c:axId val="747285439"/>
        <c:axId val="771008282"/>
      </c:lineChart>
      <c:catAx>
        <c:axId val="747285439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771008282"/>
      </c:catAx>
      <c:valAx>
        <c:axId val="771008282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747285439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エリア内自転車増加量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'分析'!$A$15</c:f>
            </c:strRef>
          </c:tx>
          <c:spPr>
            <a:solidFill>
              <a:srgbClr val="3366CC"/>
            </a:solidFill>
          </c:spPr>
          <c:cat>
            <c:strRef>
              <c:f>'分析'!$B$14:$F$14</c:f>
            </c:strRef>
          </c:cat>
          <c:val>
            <c:numRef>
              <c:f>'分析'!$B$15:$F$15</c:f>
            </c:numRef>
          </c:val>
        </c:ser>
        <c:axId val="1793445928"/>
        <c:axId val="1416947655"/>
      </c:barChart>
      <c:catAx>
        <c:axId val="1793445928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416947655"/>
      </c:catAx>
      <c:valAx>
        <c:axId val="14169476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エリア内自転車増加量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793445928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'分析'!$A$2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'分析'!$B$2:$F$2</c:f>
            </c:numRef>
          </c:val>
        </c:ser>
        <c:ser>
          <c:idx val="1"/>
          <c:order val="1"/>
          <c:tx>
            <c:strRef>
              <c:f>'分析'!$A$3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'分析'!$B$3:$F$3</c:f>
            </c:numRef>
          </c:val>
        </c:ser>
        <c:ser>
          <c:idx val="2"/>
          <c:order val="2"/>
          <c:tx>
            <c:strRef>
              <c:f>'分析'!$A$4</c:f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'分析'!$B$4:$F$4</c:f>
            </c:numRef>
          </c:val>
        </c:ser>
        <c:ser>
          <c:idx val="3"/>
          <c:order val="3"/>
          <c:tx>
            <c:strRef>
              <c:f>'分析'!$A$5</c:f>
            </c:strRef>
          </c:tx>
          <c:spPr>
            <a:solidFill>
              <a:srgbClr val="109618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'分析'!$B$5:$F$5</c:f>
            </c:numRef>
          </c:val>
        </c:ser>
        <c:overlap val="100"/>
        <c:axId val="1850098713"/>
        <c:axId val="1503502464"/>
      </c:barChart>
      <c:catAx>
        <c:axId val="185009871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503502464"/>
      </c:catAx>
      <c:valAx>
        <c:axId val="1503502464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50098713"/>
      </c:valAx>
    </c:plotArea>
    <c:legend>
      <c:legendPos val="r"/>
      <c:overlay val="0"/>
    </c:legend>
    <c:plotVisOnly val="1"/>
  </c:chart>
</c:chartSpace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18</xdr:row>
      <xdr:rowOff>38100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685800</xdr:colOff>
      <xdr:row>18</xdr:row>
      <xdr:rowOff>38100</xdr:rowOff>
    </xdr:from>
    <xdr:ext cx="5715000" cy="3533775"/>
    <xdr:graphicFrame>
      <xdr:nvGraphicFramePr>
        <xdr:cNvPr id="2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685800</xdr:colOff>
      <xdr:row>3</xdr:row>
      <xdr:rowOff>0</xdr:rowOff>
    </xdr:from>
    <xdr:ext cx="4286250" cy="2647950"/>
    <xdr:graphicFrame>
      <xdr:nvGraphicFramePr>
        <xdr:cNvPr id="3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13</xdr:col>
      <xdr:colOff>790575</xdr:colOff>
      <xdr:row>18</xdr:row>
      <xdr:rowOff>38100</xdr:rowOff>
    </xdr:from>
    <xdr:ext cx="5715000" cy="3533775"/>
    <xdr:graphicFrame>
      <xdr:nvGraphicFramePr>
        <xdr:cNvPr id="4" name="Chart 4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1.0"/>
    <col customWidth="1" min="2" max="6" width="8.33"/>
    <col customWidth="1" min="7" max="7" width="2.67"/>
    <col customWidth="1" min="8" max="26" width="8.33"/>
  </cols>
  <sheetData>
    <row r="1" ht="19.5" customHeight="1">
      <c r="A1" s="3" t="s">
        <v>0</v>
      </c>
      <c r="B1" s="4">
        <v>825.0</v>
      </c>
      <c r="C1" s="8">
        <v>1125.0</v>
      </c>
      <c r="D1" s="14">
        <v>1200.0</v>
      </c>
      <c r="E1" s="15">
        <v>1500.0</v>
      </c>
      <c r="F1" s="26">
        <v>1800.0</v>
      </c>
      <c r="G1" s="27"/>
      <c r="H1" s="11" t="s">
        <v>12</v>
      </c>
      <c r="I1" s="11" t="s">
        <v>13</v>
      </c>
      <c r="J1" s="11" t="s">
        <v>14</v>
      </c>
      <c r="K1" s="11" t="s">
        <v>15</v>
      </c>
    </row>
    <row r="2" ht="19.5" customHeight="1">
      <c r="A2" s="28" t="s">
        <v>9</v>
      </c>
      <c r="B2" s="13">
        <v>101.0</v>
      </c>
      <c r="C2" s="17">
        <v>189.0</v>
      </c>
      <c r="D2" s="30">
        <v>103.0</v>
      </c>
      <c r="E2" s="32">
        <v>161.0</v>
      </c>
      <c r="F2" s="34">
        <v>36.0</v>
      </c>
      <c r="G2" s="35"/>
      <c r="H2" s="17">
        <f t="shared" ref="H2:H21" si="1">MAX(B2:F2)</f>
        <v>189</v>
      </c>
      <c r="I2" s="37">
        <f t="shared" ref="I2:I21" si="2">MIN(B2:F2)</f>
        <v>36</v>
      </c>
      <c r="J2" s="39">
        <f t="shared" ref="J2:J21" si="3">AVERAGE(B2:F2)</f>
        <v>118</v>
      </c>
      <c r="K2" s="39">
        <f t="shared" ref="K2:K21" si="4">STDEVP(B2:F2)</f>
        <v>53.15637309</v>
      </c>
    </row>
    <row r="3" ht="19.5" customHeight="1">
      <c r="A3" s="28" t="s">
        <v>11</v>
      </c>
      <c r="B3" s="13">
        <v>96.0</v>
      </c>
      <c r="C3" s="17">
        <v>92.0</v>
      </c>
      <c r="D3" s="30">
        <v>110.0</v>
      </c>
      <c r="E3" s="32">
        <v>245.0</v>
      </c>
      <c r="F3" s="34">
        <v>236.0</v>
      </c>
      <c r="G3" s="35"/>
      <c r="H3" s="32">
        <f t="shared" si="1"/>
        <v>245</v>
      </c>
      <c r="I3" s="17">
        <f t="shared" si="2"/>
        <v>92</v>
      </c>
      <c r="J3" s="39">
        <f t="shared" si="3"/>
        <v>155.8</v>
      </c>
      <c r="K3" s="39">
        <f t="shared" si="4"/>
        <v>69.47344817</v>
      </c>
    </row>
    <row r="4" ht="19.5" customHeight="1">
      <c r="A4" s="28" t="s">
        <v>16</v>
      </c>
      <c r="B4" s="13">
        <v>5.0</v>
      </c>
      <c r="C4" s="17">
        <v>87.0</v>
      </c>
      <c r="D4" s="30">
        <v>27.0</v>
      </c>
      <c r="E4" s="32">
        <v>56.0</v>
      </c>
      <c r="F4" s="34">
        <v>105.0</v>
      </c>
      <c r="G4" s="35"/>
      <c r="H4" s="37">
        <f t="shared" si="1"/>
        <v>105</v>
      </c>
      <c r="I4" s="13">
        <f t="shared" si="2"/>
        <v>5</v>
      </c>
      <c r="J4" s="39">
        <f t="shared" si="3"/>
        <v>56</v>
      </c>
      <c r="K4" s="39">
        <f t="shared" si="4"/>
        <v>36.88902276</v>
      </c>
    </row>
    <row r="5" ht="19.5" customHeight="1">
      <c r="A5" s="28" t="s">
        <v>17</v>
      </c>
      <c r="B5" s="13">
        <v>63.0</v>
      </c>
      <c r="C5" s="17">
        <v>76.0</v>
      </c>
      <c r="D5" s="30">
        <v>58.0</v>
      </c>
      <c r="E5" s="32">
        <v>83.0</v>
      </c>
      <c r="F5" s="34">
        <v>37.0</v>
      </c>
      <c r="G5" s="35"/>
      <c r="H5" s="32">
        <f t="shared" si="1"/>
        <v>83</v>
      </c>
      <c r="I5" s="37">
        <f t="shared" si="2"/>
        <v>37</v>
      </c>
      <c r="J5" s="39">
        <f t="shared" si="3"/>
        <v>63.4</v>
      </c>
      <c r="K5" s="39">
        <f t="shared" si="4"/>
        <v>15.93235701</v>
      </c>
    </row>
    <row r="6" ht="19.5" customHeight="1">
      <c r="A6" s="28" t="s">
        <v>18</v>
      </c>
      <c r="B6" s="13">
        <v>65.0</v>
      </c>
      <c r="C6" s="17">
        <v>26.0</v>
      </c>
      <c r="D6" s="30">
        <v>51.0</v>
      </c>
      <c r="E6" s="32">
        <v>40.0</v>
      </c>
      <c r="F6" s="34">
        <v>22.0</v>
      </c>
      <c r="G6" s="35"/>
      <c r="H6" s="13">
        <f t="shared" si="1"/>
        <v>65</v>
      </c>
      <c r="I6" s="37">
        <f t="shared" si="2"/>
        <v>22</v>
      </c>
      <c r="J6" s="39">
        <f t="shared" si="3"/>
        <v>40.8</v>
      </c>
      <c r="K6" s="39">
        <f t="shared" si="4"/>
        <v>15.89213642</v>
      </c>
    </row>
    <row r="7" ht="19.5" customHeight="1">
      <c r="A7" s="28" t="s">
        <v>19</v>
      </c>
      <c r="B7" s="13">
        <v>31.0</v>
      </c>
      <c r="C7" s="17">
        <v>30.0</v>
      </c>
      <c r="D7" s="30">
        <v>41.0</v>
      </c>
      <c r="E7" s="32">
        <v>45.0</v>
      </c>
      <c r="F7" s="34">
        <v>85.0</v>
      </c>
      <c r="G7" s="35"/>
      <c r="H7" s="37">
        <f t="shared" si="1"/>
        <v>85</v>
      </c>
      <c r="I7" s="17">
        <f t="shared" si="2"/>
        <v>30</v>
      </c>
      <c r="J7" s="39">
        <f t="shared" si="3"/>
        <v>46.4</v>
      </c>
      <c r="K7" s="39">
        <f t="shared" si="4"/>
        <v>20.13554072</v>
      </c>
    </row>
    <row r="8" ht="19.5" customHeight="1">
      <c r="A8" s="28" t="s">
        <v>20</v>
      </c>
      <c r="B8" s="43">
        <v>40.0</v>
      </c>
      <c r="C8" s="44">
        <v>19.0</v>
      </c>
      <c r="D8" s="30">
        <v>32.0</v>
      </c>
      <c r="E8" s="45">
        <v>38.0</v>
      </c>
      <c r="F8" s="46">
        <v>13.0</v>
      </c>
      <c r="G8" s="35" t="s">
        <v>21</v>
      </c>
      <c r="H8" s="47">
        <f t="shared" si="1"/>
        <v>40</v>
      </c>
      <c r="I8" s="47">
        <f t="shared" si="2"/>
        <v>13</v>
      </c>
      <c r="J8" s="39">
        <f t="shared" si="3"/>
        <v>28.4</v>
      </c>
      <c r="K8" s="39">
        <f t="shared" si="4"/>
        <v>10.63202709</v>
      </c>
    </row>
    <row r="9" ht="19.5" customHeight="1">
      <c r="A9" s="28" t="s">
        <v>22</v>
      </c>
      <c r="B9" s="43">
        <v>4.0</v>
      </c>
      <c r="C9" s="44">
        <v>44.0</v>
      </c>
      <c r="D9" s="30">
        <v>14.0</v>
      </c>
      <c r="E9" s="45">
        <v>38.0</v>
      </c>
      <c r="F9" s="46">
        <v>75.0</v>
      </c>
      <c r="G9" s="35" t="s">
        <v>23</v>
      </c>
      <c r="H9" s="47">
        <f t="shared" si="1"/>
        <v>75</v>
      </c>
      <c r="I9" s="47">
        <f t="shared" si="2"/>
        <v>4</v>
      </c>
      <c r="J9" s="39">
        <f t="shared" si="3"/>
        <v>35</v>
      </c>
      <c r="K9" s="39">
        <f t="shared" si="4"/>
        <v>24.86764967</v>
      </c>
    </row>
    <row r="10" ht="19.5" customHeight="1">
      <c r="A10" s="28" t="s">
        <v>24</v>
      </c>
      <c r="B10" s="43">
        <v>35.0</v>
      </c>
      <c r="C10" s="44">
        <v>62.0</v>
      </c>
      <c r="D10" s="30">
        <v>22.0</v>
      </c>
      <c r="E10" s="45">
        <v>22.0</v>
      </c>
      <c r="F10" s="46">
        <v>12.0</v>
      </c>
      <c r="G10" s="35" t="s">
        <v>21</v>
      </c>
      <c r="H10" s="47">
        <f t="shared" si="1"/>
        <v>62</v>
      </c>
      <c r="I10" s="47">
        <f t="shared" si="2"/>
        <v>12</v>
      </c>
      <c r="J10" s="39">
        <f t="shared" si="3"/>
        <v>30.6</v>
      </c>
      <c r="K10" s="39">
        <f t="shared" si="4"/>
        <v>17.31588866</v>
      </c>
    </row>
    <row r="11" ht="19.5" customHeight="1">
      <c r="A11" s="28" t="s">
        <v>25</v>
      </c>
      <c r="B11" s="43">
        <v>6.0</v>
      </c>
      <c r="C11" s="44">
        <v>23.0</v>
      </c>
      <c r="D11" s="30">
        <v>17.0</v>
      </c>
      <c r="E11" s="45">
        <v>25.0</v>
      </c>
      <c r="F11" s="46">
        <v>28.0</v>
      </c>
      <c r="G11" s="35" t="s">
        <v>23</v>
      </c>
      <c r="H11" s="47">
        <f t="shared" si="1"/>
        <v>28</v>
      </c>
      <c r="I11" s="47">
        <f t="shared" si="2"/>
        <v>6</v>
      </c>
      <c r="J11" s="39">
        <f t="shared" si="3"/>
        <v>19.8</v>
      </c>
      <c r="K11" s="39">
        <f t="shared" si="4"/>
        <v>7.782030583</v>
      </c>
    </row>
    <row r="12" ht="19.5" customHeight="1">
      <c r="A12" s="28" t="s">
        <v>26</v>
      </c>
      <c r="B12" s="13">
        <v>190.0</v>
      </c>
      <c r="C12" s="17">
        <v>167.0</v>
      </c>
      <c r="D12" s="48">
        <v>155.0</v>
      </c>
      <c r="E12" s="32">
        <v>175.0</v>
      </c>
      <c r="F12" s="34">
        <v>34.0</v>
      </c>
      <c r="G12" s="35" t="s">
        <v>21</v>
      </c>
      <c r="H12" s="13">
        <f t="shared" si="1"/>
        <v>190</v>
      </c>
      <c r="I12" s="37">
        <f t="shared" si="2"/>
        <v>34</v>
      </c>
      <c r="J12" s="39">
        <f t="shared" si="3"/>
        <v>144.2</v>
      </c>
      <c r="K12" s="39">
        <f t="shared" si="4"/>
        <v>56.26153215</v>
      </c>
    </row>
    <row r="13" ht="19.5" customHeight="1">
      <c r="A13" s="28" t="s">
        <v>27</v>
      </c>
      <c r="B13" s="13">
        <v>121.0</v>
      </c>
      <c r="C13" s="17">
        <v>68.0</v>
      </c>
      <c r="D13" s="48">
        <v>103.0</v>
      </c>
      <c r="E13" s="32">
        <v>51.0</v>
      </c>
      <c r="F13" s="34">
        <v>16.0</v>
      </c>
      <c r="G13" s="35" t="s">
        <v>21</v>
      </c>
      <c r="H13" s="13">
        <f t="shared" si="1"/>
        <v>121</v>
      </c>
      <c r="I13" s="37">
        <f t="shared" si="2"/>
        <v>16</v>
      </c>
      <c r="J13" s="39">
        <f t="shared" si="3"/>
        <v>71.8</v>
      </c>
      <c r="K13" s="39">
        <f t="shared" si="4"/>
        <v>37.29557615</v>
      </c>
    </row>
    <row r="14" ht="19.5" customHeight="1">
      <c r="A14" s="28" t="s">
        <v>28</v>
      </c>
      <c r="B14" s="13">
        <v>191.0</v>
      </c>
      <c r="C14" s="17">
        <v>248.0</v>
      </c>
      <c r="D14" s="48">
        <v>187.0</v>
      </c>
      <c r="E14" s="32">
        <v>229.0</v>
      </c>
      <c r="F14" s="34">
        <v>74.0</v>
      </c>
      <c r="G14" s="35"/>
      <c r="H14" s="17">
        <f t="shared" si="1"/>
        <v>248</v>
      </c>
      <c r="I14" s="37">
        <f t="shared" si="2"/>
        <v>74</v>
      </c>
      <c r="J14" s="39">
        <f t="shared" si="3"/>
        <v>185.8</v>
      </c>
      <c r="K14" s="39">
        <f t="shared" si="4"/>
        <v>60.43641287</v>
      </c>
    </row>
    <row r="15" ht="19.5" customHeight="1">
      <c r="A15" s="28" t="s">
        <v>29</v>
      </c>
      <c r="B15" s="13">
        <v>93.0</v>
      </c>
      <c r="C15" s="17">
        <v>155.0</v>
      </c>
      <c r="D15" s="48">
        <v>159.0</v>
      </c>
      <c r="E15" s="32">
        <v>299.0</v>
      </c>
      <c r="F15" s="34">
        <v>344.0</v>
      </c>
      <c r="G15" s="35"/>
      <c r="H15" s="37">
        <f t="shared" si="1"/>
        <v>344</v>
      </c>
      <c r="I15" s="13">
        <f t="shared" si="2"/>
        <v>93</v>
      </c>
      <c r="J15" s="39">
        <f t="shared" si="3"/>
        <v>210</v>
      </c>
      <c r="K15" s="39">
        <f t="shared" si="4"/>
        <v>95.07050016</v>
      </c>
    </row>
    <row r="16" ht="19.5" customHeight="1">
      <c r="A16" s="28" t="s">
        <v>30</v>
      </c>
      <c r="B16" s="13">
        <v>125.0</v>
      </c>
      <c r="C16" s="17">
        <v>77.0</v>
      </c>
      <c r="D16" s="48">
        <v>144.0</v>
      </c>
      <c r="E16" s="32">
        <v>129.0</v>
      </c>
      <c r="F16" s="34">
        <v>48.0</v>
      </c>
      <c r="G16" s="35"/>
      <c r="H16" s="48">
        <f t="shared" si="1"/>
        <v>144</v>
      </c>
      <c r="I16" s="37">
        <f t="shared" si="2"/>
        <v>48</v>
      </c>
      <c r="J16" s="39">
        <f t="shared" si="3"/>
        <v>104.6</v>
      </c>
      <c r="K16" s="39">
        <f t="shared" si="4"/>
        <v>36.13640823</v>
      </c>
    </row>
    <row r="17" ht="19.5" customHeight="1">
      <c r="A17" s="28" t="s">
        <v>31</v>
      </c>
      <c r="B17" s="13">
        <v>82.0</v>
      </c>
      <c r="C17" s="17">
        <v>212.0</v>
      </c>
      <c r="D17" s="48">
        <v>96.0</v>
      </c>
      <c r="E17" s="32">
        <v>295.0</v>
      </c>
      <c r="F17" s="34">
        <v>438.0</v>
      </c>
      <c r="G17" s="35" t="s">
        <v>23</v>
      </c>
      <c r="H17" s="37">
        <f t="shared" si="1"/>
        <v>438</v>
      </c>
      <c r="I17" s="13">
        <f t="shared" si="2"/>
        <v>82</v>
      </c>
      <c r="J17" s="39">
        <f t="shared" si="3"/>
        <v>224.6</v>
      </c>
      <c r="K17" s="39">
        <f t="shared" si="4"/>
        <v>132.3081252</v>
      </c>
    </row>
    <row r="18" ht="19.5" customHeight="1">
      <c r="A18" s="28" t="s">
        <v>32</v>
      </c>
      <c r="B18" s="43">
        <v>96.0</v>
      </c>
      <c r="C18" s="44">
        <v>50.0</v>
      </c>
      <c r="D18" s="30">
        <v>31.0</v>
      </c>
      <c r="E18" s="45">
        <v>47.0</v>
      </c>
      <c r="F18" s="46">
        <v>35.0</v>
      </c>
      <c r="G18" s="35" t="s">
        <v>21</v>
      </c>
      <c r="H18" s="47">
        <f t="shared" si="1"/>
        <v>96</v>
      </c>
      <c r="I18" s="47">
        <f t="shared" si="2"/>
        <v>31</v>
      </c>
      <c r="J18" s="39">
        <f t="shared" si="3"/>
        <v>51.8</v>
      </c>
      <c r="K18" s="39">
        <f t="shared" si="4"/>
        <v>23.21551206</v>
      </c>
    </row>
    <row r="19" ht="19.5" customHeight="1">
      <c r="A19" s="28" t="s">
        <v>33</v>
      </c>
      <c r="B19" s="43">
        <v>23.0</v>
      </c>
      <c r="C19" s="44">
        <v>32.0</v>
      </c>
      <c r="D19" s="30">
        <v>33.0</v>
      </c>
      <c r="E19" s="45">
        <v>51.0</v>
      </c>
      <c r="F19" s="46">
        <v>45.0</v>
      </c>
      <c r="G19" s="35" t="s">
        <v>23</v>
      </c>
      <c r="H19" s="47">
        <f t="shared" si="1"/>
        <v>51</v>
      </c>
      <c r="I19" s="47">
        <f t="shared" si="2"/>
        <v>23</v>
      </c>
      <c r="J19" s="39">
        <f t="shared" si="3"/>
        <v>36.8</v>
      </c>
      <c r="K19" s="39">
        <f t="shared" si="4"/>
        <v>9.967948636</v>
      </c>
    </row>
    <row r="20" ht="19.5" customHeight="1">
      <c r="A20" s="28" t="s">
        <v>34</v>
      </c>
      <c r="B20" s="13">
        <v>85.0</v>
      </c>
      <c r="C20" s="17">
        <v>119.0</v>
      </c>
      <c r="D20" s="30">
        <v>93.0</v>
      </c>
      <c r="E20" s="32">
        <v>113.0</v>
      </c>
      <c r="F20" s="34">
        <v>11.0</v>
      </c>
      <c r="G20" s="35"/>
      <c r="H20" s="17">
        <f t="shared" si="1"/>
        <v>119</v>
      </c>
      <c r="I20" s="37">
        <f t="shared" si="2"/>
        <v>11</v>
      </c>
      <c r="J20" s="39">
        <f t="shared" si="3"/>
        <v>84.2</v>
      </c>
      <c r="K20" s="39">
        <f t="shared" si="4"/>
        <v>38.66988492</v>
      </c>
    </row>
    <row r="21" ht="19.5" customHeight="1">
      <c r="A21" s="51" t="s">
        <v>35</v>
      </c>
      <c r="B21" s="53">
        <v>10.0</v>
      </c>
      <c r="C21" s="54">
        <v>38.0</v>
      </c>
      <c r="D21" s="55">
        <v>46.0</v>
      </c>
      <c r="E21" s="56">
        <v>133.0</v>
      </c>
      <c r="F21" s="58">
        <v>186.0</v>
      </c>
      <c r="G21" s="35"/>
      <c r="H21" s="37">
        <f t="shared" si="1"/>
        <v>186</v>
      </c>
      <c r="I21" s="13">
        <f t="shared" si="2"/>
        <v>10</v>
      </c>
      <c r="J21" s="39">
        <f t="shared" si="3"/>
        <v>82.6</v>
      </c>
      <c r="K21" s="39">
        <f t="shared" si="4"/>
        <v>66.07753022</v>
      </c>
    </row>
    <row r="22" ht="19.5" customHeight="1">
      <c r="A22" s="1"/>
      <c r="B22" s="59"/>
      <c r="C22" s="59"/>
      <c r="D22" s="60"/>
      <c r="E22" s="59"/>
      <c r="F22" s="59"/>
      <c r="G22" s="61"/>
      <c r="H22" s="63" t="s">
        <v>12</v>
      </c>
      <c r="I22" s="63" t="s">
        <v>13</v>
      </c>
      <c r="J22" s="63" t="s">
        <v>14</v>
      </c>
      <c r="K22" s="63" t="s">
        <v>15</v>
      </c>
    </row>
    <row r="23" ht="19.5" customHeight="1">
      <c r="A23" s="12" t="s">
        <v>36</v>
      </c>
      <c r="B23" s="64">
        <f>'0D 0825'!D14</f>
        <v>539.0235647</v>
      </c>
      <c r="C23" s="66">
        <f>'0D 1125'!D14</f>
        <v>665.7500772</v>
      </c>
      <c r="D23" s="68">
        <f>'0D 1200'!D14</f>
        <v>537.0572425</v>
      </c>
      <c r="E23" s="72">
        <f>'OD 1500'!D14</f>
        <v>781.2421419</v>
      </c>
      <c r="F23" s="73">
        <f>'OD 1800'!D14</f>
        <v>679.0152465</v>
      </c>
      <c r="G23" s="35"/>
      <c r="H23" s="39">
        <f t="shared" ref="H23:H28" si="5">MAX(B23:F23)</f>
        <v>781.2421419</v>
      </c>
      <c r="I23" s="39">
        <f t="shared" ref="I23:I28" si="6">MIN(B23:F23)</f>
        <v>537.0572425</v>
      </c>
      <c r="J23" s="39">
        <f t="shared" ref="J23:J28" si="7">AVERAGE(B23:F23)</f>
        <v>640.4176546</v>
      </c>
      <c r="K23" s="39">
        <f t="shared" ref="K23:K28" si="8">STDEVP(B23:F23)</f>
        <v>92.65762594</v>
      </c>
    </row>
    <row r="24" ht="19.5" customHeight="1">
      <c r="A24" s="12" t="s">
        <v>40</v>
      </c>
      <c r="B24" s="13"/>
      <c r="C24" s="17"/>
      <c r="D24" s="48"/>
      <c r="E24" s="32"/>
      <c r="F24" s="37"/>
      <c r="G24" s="35"/>
      <c r="H24" s="47">
        <f t="shared" si="5"/>
        <v>0</v>
      </c>
      <c r="I24" s="47">
        <f t="shared" si="6"/>
        <v>0</v>
      </c>
      <c r="J24" s="39" t="str">
        <f t="shared" si="7"/>
        <v>#DIV/0!</v>
      </c>
      <c r="K24" s="39" t="str">
        <f t="shared" si="8"/>
        <v>#DIV/0!</v>
      </c>
    </row>
    <row r="25" ht="19.5" customHeight="1">
      <c r="A25" s="12" t="s">
        <v>41</v>
      </c>
      <c r="B25" s="13"/>
      <c r="C25" s="17"/>
      <c r="D25" s="48"/>
      <c r="E25" s="32"/>
      <c r="F25" s="37"/>
      <c r="G25" s="35"/>
      <c r="H25" s="47">
        <f t="shared" si="5"/>
        <v>0</v>
      </c>
      <c r="I25" s="47">
        <f t="shared" si="6"/>
        <v>0</v>
      </c>
      <c r="J25" s="39" t="str">
        <f t="shared" si="7"/>
        <v>#DIV/0!</v>
      </c>
      <c r="K25" s="39" t="str">
        <f t="shared" si="8"/>
        <v>#DIV/0!</v>
      </c>
    </row>
    <row r="26" ht="19.5" customHeight="1">
      <c r="A26" s="12" t="s">
        <v>42</v>
      </c>
      <c r="B26" s="13"/>
      <c r="C26" s="17"/>
      <c r="D26" s="48"/>
      <c r="E26" s="32"/>
      <c r="F26" s="37"/>
      <c r="G26" s="35"/>
      <c r="H26" s="47">
        <f t="shared" si="5"/>
        <v>0</v>
      </c>
      <c r="I26" s="47">
        <f t="shared" si="6"/>
        <v>0</v>
      </c>
      <c r="J26" s="39" t="str">
        <f t="shared" si="7"/>
        <v>#DIV/0!</v>
      </c>
      <c r="K26" s="39" t="str">
        <f t="shared" si="8"/>
        <v>#DIV/0!</v>
      </c>
    </row>
    <row r="27" ht="19.5" customHeight="1">
      <c r="A27" s="12" t="s">
        <v>43</v>
      </c>
      <c r="B27" s="13"/>
      <c r="C27" s="17"/>
      <c r="D27" s="48"/>
      <c r="E27" s="32"/>
      <c r="F27" s="37"/>
      <c r="G27" s="35"/>
      <c r="H27" s="47">
        <f t="shared" si="5"/>
        <v>0</v>
      </c>
      <c r="I27" s="47">
        <f t="shared" si="6"/>
        <v>0</v>
      </c>
      <c r="J27" s="39" t="str">
        <f t="shared" si="7"/>
        <v>#DIV/0!</v>
      </c>
      <c r="K27" s="39" t="str">
        <f t="shared" si="8"/>
        <v>#DIV/0!</v>
      </c>
    </row>
    <row r="28" ht="19.5" customHeight="1">
      <c r="A28" s="12" t="s">
        <v>44</v>
      </c>
      <c r="B28" s="13"/>
      <c r="C28" s="17"/>
      <c r="D28" s="48"/>
      <c r="E28" s="32"/>
      <c r="F28" s="37"/>
      <c r="G28" s="35"/>
      <c r="H28" s="47">
        <f t="shared" si="5"/>
        <v>0</v>
      </c>
      <c r="I28" s="47">
        <f t="shared" si="6"/>
        <v>0</v>
      </c>
      <c r="J28" s="39" t="str">
        <f t="shared" si="7"/>
        <v>#DIV/0!</v>
      </c>
      <c r="K28" s="39" t="str">
        <f t="shared" si="8"/>
        <v>#DIV/0!</v>
      </c>
    </row>
    <row r="29" ht="19.5" customHeight="1">
      <c r="A29" s="1"/>
      <c r="B29" s="59"/>
      <c r="C29" s="59"/>
      <c r="D29" s="60"/>
      <c r="E29" s="59"/>
      <c r="F29" s="59"/>
      <c r="G29" s="1"/>
      <c r="H29" s="1"/>
      <c r="I29" s="1"/>
      <c r="J29" s="63"/>
      <c r="K29" s="63"/>
    </row>
    <row r="30" ht="19.5" customHeight="1">
      <c r="A30" s="1"/>
      <c r="B30" s="59"/>
      <c r="C30" s="59"/>
      <c r="D30" s="60"/>
      <c r="E30" s="59"/>
      <c r="F30" s="59"/>
      <c r="G30" s="61"/>
      <c r="H30" s="63" t="s">
        <v>12</v>
      </c>
      <c r="I30" s="63" t="s">
        <v>13</v>
      </c>
      <c r="J30" s="63" t="s">
        <v>14</v>
      </c>
      <c r="K30" s="63" t="s">
        <v>15</v>
      </c>
    </row>
    <row r="31" ht="19.5" customHeight="1">
      <c r="A31" s="12" t="s">
        <v>39</v>
      </c>
      <c r="B31" s="77">
        <f>'0D 0825'!I14</f>
        <v>0.003180855621</v>
      </c>
      <c r="C31" s="79">
        <f>'0D 1125'!I14</f>
        <v>0.1073228461</v>
      </c>
      <c r="D31" s="81">
        <f>'0D 1200'!I14</f>
        <v>0.1441060524</v>
      </c>
      <c r="E31" s="83">
        <f>'OD 1500'!I14</f>
        <v>0.1513645099</v>
      </c>
      <c r="F31" s="85">
        <f>'OD 1800'!I14</f>
        <v>0.09727422254</v>
      </c>
      <c r="G31" s="35"/>
      <c r="H31" s="87">
        <f t="shared" ref="H31:H37" si="9">MAX(B31:F31)</f>
        <v>0.1513645099</v>
      </c>
      <c r="I31" s="87">
        <f t="shared" ref="I31:I37" si="10">MIN(B31:F31)</f>
        <v>0.003180855621</v>
      </c>
      <c r="J31" s="39">
        <f t="shared" ref="J31:J37" si="11">AVERAGE(B31:F31)</f>
        <v>0.1006496973</v>
      </c>
      <c r="K31" s="39">
        <f t="shared" ref="K31:K37" si="12">STDEVP(B31:F31)</f>
        <v>0.0529462876</v>
      </c>
    </row>
    <row r="32" ht="19.5" customHeight="1">
      <c r="A32" s="12" t="s">
        <v>45</v>
      </c>
      <c r="B32" s="77">
        <f>'0D 0825'!I15</f>
        <v>0.1338676581</v>
      </c>
      <c r="C32" s="79">
        <f>'0D 1125'!I15</f>
        <v>0.1387413324</v>
      </c>
      <c r="D32" s="81">
        <f>'0D 1200'!I15</f>
        <v>0.08304574751</v>
      </c>
      <c r="E32" s="83">
        <f>'OD 1500'!I15</f>
        <v>0.09578496796</v>
      </c>
      <c r="F32" s="85">
        <f>'OD 1800'!I15</f>
        <v>0.1153793108</v>
      </c>
      <c r="G32" s="35"/>
      <c r="H32" s="87">
        <f t="shared" si="9"/>
        <v>0.1387413324</v>
      </c>
      <c r="I32" s="87">
        <f t="shared" si="10"/>
        <v>0.08304574751</v>
      </c>
      <c r="J32" s="39">
        <f t="shared" si="11"/>
        <v>0.1133638034</v>
      </c>
      <c r="K32" s="39">
        <f t="shared" si="12"/>
        <v>0.0214321687</v>
      </c>
    </row>
    <row r="33" ht="19.5" customHeight="1">
      <c r="A33" s="12" t="s">
        <v>46</v>
      </c>
      <c r="B33" s="77">
        <f>'0D 0825'!I16</f>
        <v>0.1370485138</v>
      </c>
      <c r="C33" s="79">
        <f>'0D 1125'!I16</f>
        <v>0.2460641785</v>
      </c>
      <c r="D33" s="81">
        <f>'0D 1200'!I16</f>
        <v>0.2271517999</v>
      </c>
      <c r="E33" s="83">
        <f>'OD 1500'!I16</f>
        <v>0.2471494778</v>
      </c>
      <c r="F33" s="85">
        <f>'OD 1800'!I16</f>
        <v>0.2126535333</v>
      </c>
      <c r="G33" s="35"/>
      <c r="H33" s="87">
        <f t="shared" si="9"/>
        <v>0.2471494778</v>
      </c>
      <c r="I33" s="87">
        <f t="shared" si="10"/>
        <v>0.1370485138</v>
      </c>
      <c r="J33" s="39">
        <f t="shared" si="11"/>
        <v>0.2140135007</v>
      </c>
      <c r="K33" s="39">
        <f t="shared" si="12"/>
        <v>0.04055443886</v>
      </c>
    </row>
    <row r="34" ht="19.5" customHeight="1">
      <c r="A34" s="12" t="s">
        <v>47</v>
      </c>
      <c r="B34" s="77">
        <f>'0D 0825'!I17</f>
        <v>0.7603418562</v>
      </c>
      <c r="C34" s="79">
        <f>'0D 1125'!I17</f>
        <v>0.4110145182</v>
      </c>
      <c r="D34" s="81">
        <f>'0D 1200'!I17</f>
        <v>0.5556198786</v>
      </c>
      <c r="E34" s="83">
        <f>'OD 1500'!I17</f>
        <v>0.3304593194</v>
      </c>
      <c r="F34" s="85">
        <f>'OD 1800'!I17</f>
        <v>0.04661999713</v>
      </c>
      <c r="G34" s="35"/>
      <c r="H34" s="87">
        <f t="shared" si="9"/>
        <v>0.7603418562</v>
      </c>
      <c r="I34" s="87">
        <f t="shared" si="10"/>
        <v>0.04661999713</v>
      </c>
      <c r="J34" s="39">
        <f t="shared" si="11"/>
        <v>0.4208111139</v>
      </c>
      <c r="K34" s="39">
        <f t="shared" si="12"/>
        <v>0.2373743625</v>
      </c>
    </row>
    <row r="35" ht="19.5" customHeight="1">
      <c r="A35" s="12" t="s">
        <v>49</v>
      </c>
      <c r="B35" s="77">
        <f>'0D 0825'!I18</f>
        <v>0.1026096301</v>
      </c>
      <c r="C35" s="79">
        <f>'0D 1125'!I18</f>
        <v>0.3429213033</v>
      </c>
      <c r="D35" s="81">
        <f>'0D 1200'!I18</f>
        <v>0.2172283215</v>
      </c>
      <c r="E35" s="83">
        <f>'OD 1500'!I18</f>
        <v>0.4223912028</v>
      </c>
      <c r="F35" s="85">
        <f>'OD 1800'!I18</f>
        <v>0.7407264695</v>
      </c>
      <c r="G35" s="35"/>
      <c r="H35" s="87">
        <f t="shared" si="9"/>
        <v>0.7407264695</v>
      </c>
      <c r="I35" s="87">
        <f t="shared" si="10"/>
        <v>0.1026096301</v>
      </c>
      <c r="J35" s="39">
        <f t="shared" si="11"/>
        <v>0.3651753855</v>
      </c>
      <c r="K35" s="39">
        <f t="shared" si="12"/>
        <v>0.2170882863</v>
      </c>
    </row>
    <row r="36" ht="19.5" customHeight="1">
      <c r="A36" s="96" t="s">
        <v>50</v>
      </c>
      <c r="B36" s="97">
        <f>'0D 0825'!I19</f>
        <v>0.8629514862</v>
      </c>
      <c r="C36" s="79">
        <f>'0D 1125'!I19</f>
        <v>0.7539358215</v>
      </c>
      <c r="D36" s="81">
        <f>'0D 1200'!I19</f>
        <v>0.7728482001</v>
      </c>
      <c r="E36" s="83">
        <f>'OD 1500'!I19</f>
        <v>0.7528505222</v>
      </c>
      <c r="F36" s="85">
        <f>'OD 1800'!I19</f>
        <v>0.7873464667</v>
      </c>
      <c r="G36" s="35"/>
      <c r="H36" s="87">
        <f t="shared" si="9"/>
        <v>0.8629514862</v>
      </c>
      <c r="I36" s="87">
        <f t="shared" si="10"/>
        <v>0.7528505222</v>
      </c>
      <c r="J36" s="39">
        <f t="shared" si="11"/>
        <v>0.7859864993</v>
      </c>
      <c r="K36" s="39">
        <f t="shared" si="12"/>
        <v>0.04055443886</v>
      </c>
    </row>
    <row r="37" ht="19.5" customHeight="1">
      <c r="A37" s="12" t="s">
        <v>53</v>
      </c>
      <c r="B37" s="64">
        <f>'0D 0825'!I20</f>
        <v>354.5331691</v>
      </c>
      <c r="C37" s="66">
        <f>'0D 1125'!I20</f>
        <v>45.33306306</v>
      </c>
      <c r="D37" s="68">
        <f>'0D 1200'!I20</f>
        <v>181.7356365</v>
      </c>
      <c r="E37" s="72">
        <f>'OD 1500'!I20</f>
        <v>-71.82106155</v>
      </c>
      <c r="F37" s="73">
        <f>'OD 1800'!I20</f>
        <v>-471.3088775</v>
      </c>
      <c r="G37" s="35"/>
      <c r="H37" s="39">
        <f t="shared" si="9"/>
        <v>354.5331691</v>
      </c>
      <c r="I37" s="39">
        <f t="shared" si="10"/>
        <v>-471.3088775</v>
      </c>
      <c r="J37" s="39">
        <f t="shared" si="11"/>
        <v>7.694385938</v>
      </c>
      <c r="K37" s="39">
        <f t="shared" si="12"/>
        <v>278.4855476</v>
      </c>
    </row>
    <row r="38" ht="19.5" customHeight="1">
      <c r="A38" s="1"/>
      <c r="B38" s="59"/>
      <c r="C38" s="59"/>
      <c r="D38" s="60"/>
      <c r="E38" s="59"/>
      <c r="F38" s="59"/>
      <c r="G38" s="1"/>
      <c r="H38" s="1"/>
      <c r="I38" s="1"/>
      <c r="J38" s="63"/>
      <c r="K38" s="63"/>
    </row>
    <row r="39" ht="19.5" customHeight="1">
      <c r="A39" s="1"/>
      <c r="B39" s="59"/>
      <c r="C39" s="59"/>
      <c r="D39" s="60"/>
      <c r="E39" s="59"/>
      <c r="F39" s="59"/>
      <c r="G39" s="61"/>
      <c r="H39" s="63" t="s">
        <v>12</v>
      </c>
      <c r="I39" s="63" t="s">
        <v>13</v>
      </c>
      <c r="J39" s="63" t="s">
        <v>14</v>
      </c>
      <c r="K39" s="63" t="s">
        <v>15</v>
      </c>
    </row>
    <row r="40" ht="19.5" customHeight="1">
      <c r="A40" s="12" t="s">
        <v>55</v>
      </c>
      <c r="B40" s="13">
        <f t="shared" ref="B40:F40" si="13">B2+B3</f>
        <v>197</v>
      </c>
      <c r="C40" s="17">
        <f t="shared" si="13"/>
        <v>281</v>
      </c>
      <c r="D40" s="48">
        <f t="shared" si="13"/>
        <v>213</v>
      </c>
      <c r="E40" s="32">
        <f t="shared" si="13"/>
        <v>406</v>
      </c>
      <c r="F40" s="37">
        <f t="shared" si="13"/>
        <v>272</v>
      </c>
      <c r="G40" s="35"/>
      <c r="H40" s="32">
        <f t="shared" ref="H40:H48" si="15">MAX(B40:F40)</f>
        <v>406</v>
      </c>
      <c r="I40" s="13">
        <f t="shared" ref="I40:I48" si="16">MIN(B40:F40)</f>
        <v>197</v>
      </c>
      <c r="J40" s="39">
        <f t="shared" ref="J40:J48" si="17">AVERAGE(B40:F40)</f>
        <v>273.8</v>
      </c>
      <c r="K40" s="39">
        <f t="shared" ref="K40:K48" si="18">STDEVP(B40:F40)</f>
        <v>73.65704311</v>
      </c>
    </row>
    <row r="41" ht="19.5" customHeight="1">
      <c r="A41" s="12" t="s">
        <v>56</v>
      </c>
      <c r="B41" s="13">
        <f t="shared" ref="B41:F41" si="14">B4+B5</f>
        <v>68</v>
      </c>
      <c r="C41" s="17">
        <f t="shared" si="14"/>
        <v>163</v>
      </c>
      <c r="D41" s="48">
        <f t="shared" si="14"/>
        <v>85</v>
      </c>
      <c r="E41" s="32">
        <f t="shared" si="14"/>
        <v>139</v>
      </c>
      <c r="F41" s="37">
        <f t="shared" si="14"/>
        <v>142</v>
      </c>
      <c r="G41" s="35"/>
      <c r="H41" s="17">
        <f t="shared" si="15"/>
        <v>163</v>
      </c>
      <c r="I41" s="13">
        <f t="shared" si="16"/>
        <v>68</v>
      </c>
      <c r="J41" s="39">
        <f t="shared" si="17"/>
        <v>119.4</v>
      </c>
      <c r="K41" s="39">
        <f t="shared" si="18"/>
        <v>36.39010855</v>
      </c>
    </row>
    <row r="42" ht="19.5" customHeight="1">
      <c r="A42" s="12" t="s">
        <v>57</v>
      </c>
      <c r="B42" s="13">
        <f t="shared" ref="B42:F42" si="19">B6+B7</f>
        <v>96</v>
      </c>
      <c r="C42" s="17">
        <f t="shared" si="19"/>
        <v>56</v>
      </c>
      <c r="D42" s="48">
        <f t="shared" si="19"/>
        <v>92</v>
      </c>
      <c r="E42" s="32">
        <f t="shared" si="19"/>
        <v>85</v>
      </c>
      <c r="F42" s="37">
        <f t="shared" si="19"/>
        <v>107</v>
      </c>
      <c r="G42" s="35"/>
      <c r="H42" s="37">
        <f t="shared" si="15"/>
        <v>107</v>
      </c>
      <c r="I42" s="17">
        <f t="shared" si="16"/>
        <v>56</v>
      </c>
      <c r="J42" s="39">
        <f t="shared" si="17"/>
        <v>87.2</v>
      </c>
      <c r="K42" s="39">
        <f t="shared" si="18"/>
        <v>17.15109326</v>
      </c>
    </row>
    <row r="43" ht="19.5" customHeight="1">
      <c r="A43" s="12" t="s">
        <v>58</v>
      </c>
      <c r="B43" s="13">
        <f t="shared" ref="B43:F43" si="20">B8+B9</f>
        <v>44</v>
      </c>
      <c r="C43" s="17">
        <f t="shared" si="20"/>
        <v>63</v>
      </c>
      <c r="D43" s="48">
        <f t="shared" si="20"/>
        <v>46</v>
      </c>
      <c r="E43" s="32">
        <f t="shared" si="20"/>
        <v>76</v>
      </c>
      <c r="F43" s="37">
        <f t="shared" si="20"/>
        <v>88</v>
      </c>
      <c r="G43" s="35"/>
      <c r="H43" s="47">
        <f t="shared" si="15"/>
        <v>88</v>
      </c>
      <c r="I43" s="47">
        <f t="shared" si="16"/>
        <v>44</v>
      </c>
      <c r="J43" s="39">
        <f t="shared" si="17"/>
        <v>63.4</v>
      </c>
      <c r="K43" s="39">
        <f t="shared" si="18"/>
        <v>16.98940847</v>
      </c>
    </row>
    <row r="44" ht="19.5" customHeight="1">
      <c r="A44" s="12" t="s">
        <v>59</v>
      </c>
      <c r="B44" s="13">
        <f t="shared" ref="B44:F44" si="21">B10+B11</f>
        <v>41</v>
      </c>
      <c r="C44" s="17">
        <f t="shared" si="21"/>
        <v>85</v>
      </c>
      <c r="D44" s="48">
        <f t="shared" si="21"/>
        <v>39</v>
      </c>
      <c r="E44" s="32">
        <f t="shared" si="21"/>
        <v>47</v>
      </c>
      <c r="F44" s="37">
        <f t="shared" si="21"/>
        <v>40</v>
      </c>
      <c r="G44" s="35"/>
      <c r="H44" s="47">
        <f t="shared" si="15"/>
        <v>85</v>
      </c>
      <c r="I44" s="47">
        <f t="shared" si="16"/>
        <v>39</v>
      </c>
      <c r="J44" s="39">
        <f t="shared" si="17"/>
        <v>50.4</v>
      </c>
      <c r="K44" s="39">
        <f t="shared" si="18"/>
        <v>17.52255689</v>
      </c>
    </row>
    <row r="45" ht="19.5" customHeight="1">
      <c r="A45" s="12" t="s">
        <v>60</v>
      </c>
      <c r="B45" s="13">
        <f t="shared" ref="B45:F45" si="22">B18+B19</f>
        <v>119</v>
      </c>
      <c r="C45" s="17">
        <f t="shared" si="22"/>
        <v>82</v>
      </c>
      <c r="D45" s="48">
        <f t="shared" si="22"/>
        <v>64</v>
      </c>
      <c r="E45" s="32">
        <f t="shared" si="22"/>
        <v>98</v>
      </c>
      <c r="F45" s="37">
        <f t="shared" si="22"/>
        <v>80</v>
      </c>
      <c r="G45" s="35"/>
      <c r="H45" s="47">
        <f t="shared" si="15"/>
        <v>119</v>
      </c>
      <c r="I45" s="47">
        <f t="shared" si="16"/>
        <v>64</v>
      </c>
      <c r="J45" s="39">
        <f t="shared" si="17"/>
        <v>88.6</v>
      </c>
      <c r="K45" s="39">
        <f t="shared" si="18"/>
        <v>18.62900964</v>
      </c>
    </row>
    <row r="46" ht="19.5" customHeight="1">
      <c r="A46" s="12" t="s">
        <v>61</v>
      </c>
      <c r="B46" s="13">
        <f t="shared" ref="B46:F46" si="23">B14+B15</f>
        <v>284</v>
      </c>
      <c r="C46" s="17">
        <f t="shared" si="23"/>
        <v>403</v>
      </c>
      <c r="D46" s="48">
        <f t="shared" si="23"/>
        <v>346</v>
      </c>
      <c r="E46" s="32">
        <f t="shared" si="23"/>
        <v>528</v>
      </c>
      <c r="F46" s="37">
        <f t="shared" si="23"/>
        <v>418</v>
      </c>
      <c r="G46" s="35"/>
      <c r="H46" s="32">
        <f t="shared" si="15"/>
        <v>528</v>
      </c>
      <c r="I46" s="13">
        <f t="shared" si="16"/>
        <v>284</v>
      </c>
      <c r="J46" s="39">
        <f t="shared" si="17"/>
        <v>395.8</v>
      </c>
      <c r="K46" s="39">
        <f t="shared" si="18"/>
        <v>81.24136877</v>
      </c>
    </row>
    <row r="47" ht="19.5" customHeight="1">
      <c r="A47" s="12" t="s">
        <v>62</v>
      </c>
      <c r="B47" s="13">
        <f t="shared" ref="B47:F47" si="24">B12+B13+B17</f>
        <v>393</v>
      </c>
      <c r="C47" s="17">
        <f t="shared" si="24"/>
        <v>447</v>
      </c>
      <c r="D47" s="48">
        <f t="shared" si="24"/>
        <v>354</v>
      </c>
      <c r="E47" s="32">
        <f t="shared" si="24"/>
        <v>521</v>
      </c>
      <c r="F47" s="37">
        <f t="shared" si="24"/>
        <v>488</v>
      </c>
      <c r="G47" s="35"/>
      <c r="H47" s="32">
        <f t="shared" si="15"/>
        <v>521</v>
      </c>
      <c r="I47" s="48">
        <f t="shared" si="16"/>
        <v>354</v>
      </c>
      <c r="J47" s="39">
        <f t="shared" si="17"/>
        <v>440.6</v>
      </c>
      <c r="K47" s="39">
        <f t="shared" si="18"/>
        <v>60.85589536</v>
      </c>
    </row>
    <row r="48" ht="19.5" customHeight="1">
      <c r="A48" s="12" t="s">
        <v>63</v>
      </c>
      <c r="B48" s="13">
        <f t="shared" ref="B48:F48" si="25">B20+B21</f>
        <v>95</v>
      </c>
      <c r="C48" s="17">
        <f t="shared" si="25"/>
        <v>157</v>
      </c>
      <c r="D48" s="48">
        <f t="shared" si="25"/>
        <v>139</v>
      </c>
      <c r="E48" s="32">
        <f t="shared" si="25"/>
        <v>246</v>
      </c>
      <c r="F48" s="37">
        <f t="shared" si="25"/>
        <v>197</v>
      </c>
      <c r="G48" s="35"/>
      <c r="H48" s="32">
        <f t="shared" si="15"/>
        <v>246</v>
      </c>
      <c r="I48" s="13">
        <f t="shared" si="16"/>
        <v>95</v>
      </c>
      <c r="J48" s="39">
        <f t="shared" si="17"/>
        <v>166.8</v>
      </c>
      <c r="K48" s="39">
        <f t="shared" si="18"/>
        <v>51.39805444</v>
      </c>
    </row>
    <row r="49" ht="19.5" customHeight="1">
      <c r="D49" s="114"/>
    </row>
    <row r="50" ht="19.5" customHeight="1">
      <c r="D50" s="114"/>
    </row>
    <row r="51" ht="19.5" customHeight="1">
      <c r="A51" s="47" t="s">
        <v>62</v>
      </c>
      <c r="B51" s="47">
        <f t="shared" ref="B51:F51" si="26">B12+B13+B17</f>
        <v>393</v>
      </c>
      <c r="C51" s="47">
        <f t="shared" si="26"/>
        <v>447</v>
      </c>
      <c r="D51" s="47">
        <f t="shared" si="26"/>
        <v>354</v>
      </c>
      <c r="E51" s="47">
        <f t="shared" si="26"/>
        <v>521</v>
      </c>
      <c r="F51" s="47">
        <f t="shared" si="26"/>
        <v>488</v>
      </c>
      <c r="G51" s="116"/>
      <c r="H51" s="116">
        <f t="shared" ref="H51:H52" si="28">sum(B51:F51)</f>
        <v>2203</v>
      </c>
    </row>
    <row r="52" ht="19.5" customHeight="1">
      <c r="A52" s="118" t="s">
        <v>64</v>
      </c>
      <c r="B52" s="118">
        <f t="shared" ref="B52:F52" si="27">B17</f>
        <v>82</v>
      </c>
      <c r="C52" s="118">
        <f t="shared" si="27"/>
        <v>212</v>
      </c>
      <c r="D52" s="118">
        <f t="shared" si="27"/>
        <v>96</v>
      </c>
      <c r="E52" s="118">
        <f t="shared" si="27"/>
        <v>295</v>
      </c>
      <c r="F52" s="118">
        <f t="shared" si="27"/>
        <v>438</v>
      </c>
      <c r="G52" s="118"/>
      <c r="H52" s="118">
        <f t="shared" si="28"/>
        <v>1123</v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ht="19.5" customHeight="1">
      <c r="A53" s="116" t="s">
        <v>65</v>
      </c>
      <c r="B53" s="120">
        <f t="shared" ref="B53:F53" si="29">B52/B51</f>
        <v>0.2086513995</v>
      </c>
      <c r="C53" s="120">
        <f t="shared" si="29"/>
        <v>0.4742729306</v>
      </c>
      <c r="D53" s="120">
        <f t="shared" si="29"/>
        <v>0.2711864407</v>
      </c>
      <c r="E53" s="120">
        <f t="shared" si="29"/>
        <v>0.56621881</v>
      </c>
      <c r="F53" s="120">
        <f t="shared" si="29"/>
        <v>0.8975409836</v>
      </c>
      <c r="G53" s="120"/>
      <c r="H53" s="120">
        <f>H52/H51</f>
        <v>0.509759419</v>
      </c>
    </row>
    <row r="54" ht="19.5" customHeight="1">
      <c r="A54" s="118" t="s">
        <v>66</v>
      </c>
      <c r="B54" s="118">
        <f t="shared" ref="B54:F54" si="30">B12+B13</f>
        <v>311</v>
      </c>
      <c r="C54" s="118">
        <f t="shared" si="30"/>
        <v>235</v>
      </c>
      <c r="D54" s="118">
        <f t="shared" si="30"/>
        <v>258</v>
      </c>
      <c r="E54" s="118">
        <f t="shared" si="30"/>
        <v>226</v>
      </c>
      <c r="F54" s="118">
        <f t="shared" si="30"/>
        <v>50</v>
      </c>
      <c r="G54" s="118"/>
      <c r="H54" s="118">
        <f>sum(B54:F54)</f>
        <v>1080</v>
      </c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</row>
    <row r="55" ht="19.5" customHeight="1">
      <c r="A55" s="116" t="s">
        <v>65</v>
      </c>
      <c r="B55" s="120">
        <f t="shared" ref="B55:F55" si="31">B54/B51</f>
        <v>0.7913486005</v>
      </c>
      <c r="C55" s="120">
        <f t="shared" si="31"/>
        <v>0.5257270694</v>
      </c>
      <c r="D55" s="120">
        <f t="shared" si="31"/>
        <v>0.7288135593</v>
      </c>
      <c r="E55" s="120">
        <f t="shared" si="31"/>
        <v>0.43378119</v>
      </c>
      <c r="F55" s="120">
        <f t="shared" si="31"/>
        <v>0.1024590164</v>
      </c>
      <c r="G55" s="120"/>
      <c r="H55" s="120">
        <f>H54/H51</f>
        <v>0.490240581</v>
      </c>
    </row>
    <row r="56" ht="19.5" customHeight="1">
      <c r="D56" s="114"/>
    </row>
    <row r="57" ht="19.5" customHeight="1">
      <c r="D57" s="114"/>
    </row>
    <row r="58" ht="19.5" customHeight="1">
      <c r="D58" s="114"/>
    </row>
    <row r="59" ht="19.5" customHeight="1">
      <c r="D59" s="114"/>
    </row>
    <row r="60" ht="19.5" customHeight="1">
      <c r="D60" s="114"/>
    </row>
    <row r="61" ht="19.5" customHeight="1">
      <c r="D61" s="114"/>
    </row>
    <row r="62" ht="19.5" customHeight="1">
      <c r="D62" s="114"/>
    </row>
    <row r="63" ht="19.5" customHeight="1">
      <c r="D63" s="114"/>
    </row>
    <row r="64" ht="19.5" customHeight="1">
      <c r="D64" s="114"/>
    </row>
    <row r="65" ht="19.5" customHeight="1">
      <c r="D65" s="114"/>
    </row>
    <row r="66" ht="19.5" customHeight="1">
      <c r="D66" s="114"/>
    </row>
    <row r="67" ht="19.5" customHeight="1">
      <c r="D67" s="114"/>
    </row>
    <row r="68" ht="19.5" customHeight="1">
      <c r="D68" s="114"/>
    </row>
    <row r="69" ht="19.5" customHeight="1">
      <c r="D69" s="114"/>
    </row>
    <row r="70" ht="19.5" customHeight="1">
      <c r="D70" s="114"/>
    </row>
    <row r="71" ht="19.5" customHeight="1">
      <c r="D71" s="114"/>
    </row>
    <row r="72" ht="19.5" customHeight="1">
      <c r="D72" s="114"/>
    </row>
    <row r="73" ht="19.5" customHeight="1">
      <c r="D73" s="114"/>
    </row>
    <row r="74" ht="19.5" customHeight="1">
      <c r="D74" s="114"/>
    </row>
    <row r="75" ht="19.5" customHeight="1">
      <c r="D75" s="114"/>
    </row>
    <row r="76" ht="19.5" customHeight="1">
      <c r="D76" s="114"/>
    </row>
    <row r="77" ht="19.5" customHeight="1">
      <c r="D77" s="114"/>
    </row>
    <row r="78" ht="19.5" customHeight="1">
      <c r="D78" s="114"/>
    </row>
    <row r="79" ht="19.5" customHeight="1">
      <c r="D79" s="114"/>
    </row>
    <row r="80" ht="19.5" customHeight="1">
      <c r="D80" s="114"/>
    </row>
    <row r="81" ht="19.5" customHeight="1">
      <c r="D81" s="114"/>
    </row>
    <row r="82" ht="19.5" customHeight="1">
      <c r="D82" s="114"/>
    </row>
    <row r="83" ht="19.5" customHeight="1">
      <c r="D83" s="114"/>
    </row>
    <row r="84" ht="19.5" customHeight="1">
      <c r="D84" s="114"/>
    </row>
    <row r="85" ht="19.5" customHeight="1">
      <c r="D85" s="114"/>
    </row>
    <row r="86" ht="19.5" customHeight="1">
      <c r="D86" s="114"/>
    </row>
    <row r="87" ht="19.5" customHeight="1">
      <c r="D87" s="114"/>
    </row>
    <row r="88" ht="19.5" customHeight="1">
      <c r="D88" s="114"/>
    </row>
    <row r="89" ht="19.5" customHeight="1">
      <c r="D89" s="114"/>
    </row>
    <row r="90" ht="19.5" customHeight="1">
      <c r="D90" s="114"/>
    </row>
    <row r="91" ht="19.5" customHeight="1">
      <c r="D91" s="114"/>
    </row>
    <row r="92" ht="19.5" customHeight="1">
      <c r="D92" s="114"/>
    </row>
    <row r="93" ht="19.5" customHeight="1">
      <c r="D93" s="114"/>
    </row>
    <row r="94" ht="19.5" customHeight="1">
      <c r="D94" s="114"/>
    </row>
    <row r="95" ht="19.5" customHeight="1">
      <c r="D95" s="114"/>
    </row>
    <row r="96" ht="19.5" customHeight="1">
      <c r="D96" s="114"/>
    </row>
    <row r="97" ht="19.5" customHeight="1">
      <c r="D97" s="114"/>
    </row>
    <row r="98" ht="19.5" customHeight="1">
      <c r="D98" s="114"/>
    </row>
    <row r="99" ht="19.5" customHeight="1">
      <c r="D99" s="114"/>
    </row>
    <row r="100" ht="19.5" customHeight="1">
      <c r="D100" s="114"/>
    </row>
    <row r="101" ht="19.5" customHeight="1">
      <c r="D101" s="114"/>
    </row>
    <row r="102" ht="19.5" customHeight="1">
      <c r="D102" s="114"/>
    </row>
    <row r="103" ht="19.5" customHeight="1">
      <c r="D103" s="114"/>
    </row>
    <row r="104" ht="19.5" customHeight="1">
      <c r="D104" s="114"/>
    </row>
    <row r="105" ht="19.5" customHeight="1">
      <c r="D105" s="114"/>
    </row>
    <row r="106" ht="19.5" customHeight="1">
      <c r="D106" s="114"/>
    </row>
    <row r="107" ht="19.5" customHeight="1">
      <c r="D107" s="114"/>
    </row>
    <row r="108" ht="19.5" customHeight="1">
      <c r="D108" s="114"/>
    </row>
    <row r="109" ht="19.5" customHeight="1">
      <c r="D109" s="114"/>
    </row>
    <row r="110" ht="19.5" customHeight="1">
      <c r="D110" s="114"/>
    </row>
    <row r="111" ht="19.5" customHeight="1">
      <c r="D111" s="114"/>
    </row>
    <row r="112" ht="19.5" customHeight="1">
      <c r="D112" s="114"/>
    </row>
    <row r="113" ht="19.5" customHeight="1">
      <c r="D113" s="114"/>
    </row>
    <row r="114" ht="19.5" customHeight="1">
      <c r="D114" s="114"/>
    </row>
    <row r="115" ht="19.5" customHeight="1">
      <c r="D115" s="114"/>
    </row>
    <row r="116" ht="19.5" customHeight="1">
      <c r="D116" s="114"/>
    </row>
    <row r="117" ht="19.5" customHeight="1">
      <c r="D117" s="114"/>
    </row>
    <row r="118" ht="19.5" customHeight="1">
      <c r="D118" s="114"/>
    </row>
    <row r="119" ht="19.5" customHeight="1">
      <c r="D119" s="114"/>
    </row>
    <row r="120" ht="19.5" customHeight="1">
      <c r="D120" s="114"/>
    </row>
    <row r="121" ht="19.5" customHeight="1">
      <c r="D121" s="114"/>
    </row>
    <row r="122" ht="19.5" customHeight="1">
      <c r="D122" s="114"/>
    </row>
    <row r="123" ht="19.5" customHeight="1">
      <c r="D123" s="114"/>
    </row>
    <row r="124" ht="19.5" customHeight="1">
      <c r="D124" s="114"/>
    </row>
    <row r="125" ht="19.5" customHeight="1">
      <c r="D125" s="114"/>
    </row>
    <row r="126" ht="19.5" customHeight="1">
      <c r="D126" s="114"/>
    </row>
    <row r="127" ht="19.5" customHeight="1">
      <c r="D127" s="114"/>
    </row>
    <row r="128" ht="19.5" customHeight="1">
      <c r="D128" s="114"/>
    </row>
    <row r="129" ht="19.5" customHeight="1">
      <c r="D129" s="114"/>
    </row>
    <row r="130" ht="19.5" customHeight="1">
      <c r="D130" s="114"/>
    </row>
    <row r="131" ht="19.5" customHeight="1">
      <c r="D131" s="114"/>
    </row>
    <row r="132" ht="19.5" customHeight="1">
      <c r="D132" s="114"/>
    </row>
    <row r="133" ht="19.5" customHeight="1">
      <c r="D133" s="114"/>
    </row>
    <row r="134" ht="19.5" customHeight="1">
      <c r="D134" s="114"/>
    </row>
    <row r="135" ht="19.5" customHeight="1">
      <c r="D135" s="114"/>
    </row>
    <row r="136" ht="19.5" customHeight="1">
      <c r="D136" s="114"/>
    </row>
    <row r="137" ht="19.5" customHeight="1">
      <c r="D137" s="114"/>
    </row>
    <row r="138" ht="19.5" customHeight="1">
      <c r="D138" s="114"/>
    </row>
    <row r="139" ht="19.5" customHeight="1">
      <c r="D139" s="114"/>
    </row>
    <row r="140" ht="19.5" customHeight="1">
      <c r="D140" s="114"/>
    </row>
    <row r="141" ht="19.5" customHeight="1">
      <c r="D141" s="114"/>
    </row>
    <row r="142" ht="19.5" customHeight="1">
      <c r="D142" s="114"/>
    </row>
    <row r="143" ht="19.5" customHeight="1">
      <c r="D143" s="114"/>
    </row>
    <row r="144" ht="19.5" customHeight="1">
      <c r="D144" s="114"/>
    </row>
    <row r="145" ht="19.5" customHeight="1">
      <c r="D145" s="114"/>
    </row>
    <row r="146" ht="19.5" customHeight="1">
      <c r="D146" s="114"/>
    </row>
    <row r="147" ht="19.5" customHeight="1">
      <c r="D147" s="114"/>
    </row>
    <row r="148" ht="19.5" customHeight="1">
      <c r="D148" s="114"/>
    </row>
    <row r="149" ht="19.5" customHeight="1">
      <c r="D149" s="114"/>
    </row>
    <row r="150" ht="19.5" customHeight="1">
      <c r="D150" s="114"/>
    </row>
    <row r="151" ht="19.5" customHeight="1">
      <c r="D151" s="114"/>
    </row>
    <row r="152" ht="19.5" customHeight="1">
      <c r="D152" s="114"/>
    </row>
    <row r="153" ht="19.5" customHeight="1">
      <c r="D153" s="114"/>
    </row>
    <row r="154" ht="19.5" customHeight="1">
      <c r="D154" s="114"/>
    </row>
    <row r="155" ht="19.5" customHeight="1">
      <c r="D155" s="114"/>
    </row>
    <row r="156" ht="19.5" customHeight="1">
      <c r="D156" s="114"/>
    </row>
    <row r="157" ht="19.5" customHeight="1">
      <c r="D157" s="114"/>
    </row>
    <row r="158" ht="19.5" customHeight="1">
      <c r="D158" s="114"/>
    </row>
    <row r="159" ht="19.5" customHeight="1">
      <c r="D159" s="114"/>
    </row>
    <row r="160" ht="19.5" customHeight="1">
      <c r="D160" s="114"/>
    </row>
    <row r="161" ht="19.5" customHeight="1">
      <c r="D161" s="114"/>
    </row>
    <row r="162" ht="19.5" customHeight="1">
      <c r="D162" s="114"/>
    </row>
    <row r="163" ht="19.5" customHeight="1">
      <c r="D163" s="114"/>
    </row>
    <row r="164" ht="19.5" customHeight="1">
      <c r="D164" s="114"/>
    </row>
    <row r="165" ht="19.5" customHeight="1">
      <c r="D165" s="114"/>
    </row>
    <row r="166" ht="19.5" customHeight="1">
      <c r="D166" s="114"/>
    </row>
    <row r="167" ht="19.5" customHeight="1">
      <c r="D167" s="114"/>
    </row>
    <row r="168" ht="19.5" customHeight="1">
      <c r="D168" s="114"/>
    </row>
    <row r="169" ht="19.5" customHeight="1">
      <c r="D169" s="114"/>
    </row>
    <row r="170" ht="19.5" customHeight="1">
      <c r="D170" s="114"/>
    </row>
    <row r="171" ht="19.5" customHeight="1">
      <c r="D171" s="114"/>
    </row>
    <row r="172" ht="19.5" customHeight="1">
      <c r="D172" s="114"/>
    </row>
    <row r="173" ht="19.5" customHeight="1">
      <c r="D173" s="114"/>
    </row>
    <row r="174" ht="19.5" customHeight="1">
      <c r="D174" s="114"/>
    </row>
    <row r="175" ht="19.5" customHeight="1">
      <c r="D175" s="114"/>
    </row>
    <row r="176" ht="19.5" customHeight="1">
      <c r="D176" s="114"/>
    </row>
    <row r="177" ht="19.5" customHeight="1">
      <c r="D177" s="114"/>
    </row>
    <row r="178" ht="19.5" customHeight="1">
      <c r="D178" s="114"/>
    </row>
    <row r="179" ht="19.5" customHeight="1">
      <c r="D179" s="114"/>
    </row>
    <row r="180" ht="19.5" customHeight="1">
      <c r="D180" s="114"/>
    </row>
    <row r="181" ht="19.5" customHeight="1">
      <c r="D181" s="114"/>
    </row>
    <row r="182" ht="19.5" customHeight="1">
      <c r="D182" s="114"/>
    </row>
    <row r="183" ht="19.5" customHeight="1">
      <c r="D183" s="114"/>
    </row>
    <row r="184" ht="19.5" customHeight="1">
      <c r="D184" s="114"/>
    </row>
    <row r="185" ht="19.5" customHeight="1">
      <c r="D185" s="114"/>
    </row>
    <row r="186" ht="19.5" customHeight="1">
      <c r="D186" s="114"/>
    </row>
    <row r="187" ht="19.5" customHeight="1">
      <c r="D187" s="114"/>
    </row>
    <row r="188" ht="19.5" customHeight="1">
      <c r="D188" s="114"/>
    </row>
    <row r="189" ht="19.5" customHeight="1">
      <c r="D189" s="114"/>
    </row>
    <row r="190" ht="19.5" customHeight="1">
      <c r="D190" s="114"/>
    </row>
    <row r="191" ht="19.5" customHeight="1">
      <c r="D191" s="114"/>
    </row>
    <row r="192" ht="19.5" customHeight="1">
      <c r="D192" s="114"/>
    </row>
    <row r="193" ht="19.5" customHeight="1">
      <c r="D193" s="114"/>
    </row>
    <row r="194" ht="19.5" customHeight="1">
      <c r="D194" s="114"/>
    </row>
    <row r="195" ht="19.5" customHeight="1">
      <c r="D195" s="114"/>
    </row>
    <row r="196" ht="19.5" customHeight="1">
      <c r="D196" s="114"/>
    </row>
    <row r="197" ht="19.5" customHeight="1">
      <c r="D197" s="114"/>
    </row>
    <row r="198" ht="19.5" customHeight="1">
      <c r="D198" s="114"/>
    </row>
    <row r="199" ht="19.5" customHeight="1">
      <c r="D199" s="114"/>
    </row>
    <row r="200" ht="19.5" customHeight="1">
      <c r="D200" s="114"/>
    </row>
    <row r="201" ht="19.5" customHeight="1">
      <c r="D201" s="114"/>
    </row>
    <row r="202" ht="19.5" customHeight="1">
      <c r="D202" s="114"/>
    </row>
    <row r="203" ht="19.5" customHeight="1">
      <c r="D203" s="114"/>
    </row>
    <row r="204" ht="19.5" customHeight="1">
      <c r="D204" s="114"/>
    </row>
    <row r="205" ht="19.5" customHeight="1">
      <c r="D205" s="114"/>
    </row>
    <row r="206" ht="19.5" customHeight="1">
      <c r="D206" s="114"/>
    </row>
    <row r="207" ht="19.5" customHeight="1">
      <c r="D207" s="114"/>
    </row>
    <row r="208" ht="19.5" customHeight="1">
      <c r="D208" s="114"/>
    </row>
    <row r="209" ht="19.5" customHeight="1">
      <c r="D209" s="114"/>
    </row>
    <row r="210" ht="19.5" customHeight="1">
      <c r="D210" s="114"/>
    </row>
    <row r="211" ht="19.5" customHeight="1">
      <c r="D211" s="114"/>
    </row>
    <row r="212" ht="19.5" customHeight="1">
      <c r="D212" s="114"/>
    </row>
    <row r="213" ht="19.5" customHeight="1">
      <c r="D213" s="114"/>
    </row>
    <row r="214" ht="19.5" customHeight="1">
      <c r="D214" s="114"/>
    </row>
    <row r="215" ht="19.5" customHeight="1">
      <c r="D215" s="114"/>
    </row>
    <row r="216" ht="19.5" customHeight="1">
      <c r="D216" s="114"/>
    </row>
    <row r="217" ht="19.5" customHeight="1">
      <c r="D217" s="114"/>
    </row>
    <row r="218" ht="19.5" customHeight="1">
      <c r="D218" s="114"/>
    </row>
    <row r="219" ht="19.5" customHeight="1">
      <c r="D219" s="114"/>
    </row>
    <row r="220" ht="19.5" customHeight="1">
      <c r="D220" s="114"/>
    </row>
    <row r="221" ht="19.5" customHeight="1">
      <c r="D221" s="114"/>
    </row>
    <row r="222" ht="19.5" customHeight="1">
      <c r="D222" s="114"/>
    </row>
    <row r="223" ht="19.5" customHeight="1">
      <c r="D223" s="114"/>
    </row>
    <row r="224" ht="19.5" customHeight="1">
      <c r="D224" s="114"/>
    </row>
    <row r="225" ht="19.5" customHeight="1">
      <c r="D225" s="114"/>
    </row>
    <row r="226" ht="19.5" customHeight="1">
      <c r="D226" s="114"/>
    </row>
    <row r="227" ht="19.5" customHeight="1">
      <c r="D227" s="114"/>
    </row>
    <row r="228" ht="19.5" customHeight="1">
      <c r="D228" s="114"/>
    </row>
    <row r="229" ht="19.5" customHeight="1">
      <c r="D229" s="114"/>
    </row>
    <row r="230" ht="19.5" customHeight="1">
      <c r="D230" s="114"/>
    </row>
    <row r="231" ht="19.5" customHeight="1">
      <c r="D231" s="114"/>
    </row>
    <row r="232" ht="19.5" customHeight="1">
      <c r="D232" s="114"/>
    </row>
    <row r="233" ht="19.5" customHeight="1">
      <c r="D233" s="114"/>
    </row>
    <row r="234" ht="19.5" customHeight="1">
      <c r="D234" s="114"/>
    </row>
    <row r="235" ht="19.5" customHeight="1">
      <c r="D235" s="114"/>
    </row>
    <row r="236" ht="19.5" customHeight="1">
      <c r="D236" s="114"/>
    </row>
    <row r="237" ht="19.5" customHeight="1">
      <c r="D237" s="114"/>
    </row>
    <row r="238" ht="19.5" customHeight="1">
      <c r="D238" s="114"/>
    </row>
    <row r="239" ht="19.5" customHeight="1">
      <c r="D239" s="114"/>
    </row>
    <row r="240" ht="19.5" customHeight="1">
      <c r="D240" s="114"/>
    </row>
    <row r="241" ht="19.5" customHeight="1">
      <c r="D241" s="114"/>
    </row>
    <row r="242" ht="19.5" customHeight="1">
      <c r="D242" s="114"/>
    </row>
    <row r="243" ht="19.5" customHeight="1">
      <c r="D243" s="114"/>
    </row>
    <row r="244" ht="19.5" customHeight="1">
      <c r="D244" s="114"/>
    </row>
    <row r="245" ht="19.5" customHeight="1">
      <c r="D245" s="114"/>
    </row>
    <row r="246" ht="19.5" customHeight="1">
      <c r="D246" s="114"/>
    </row>
    <row r="247" ht="19.5" customHeight="1">
      <c r="D247" s="114"/>
    </row>
    <row r="248" ht="19.5" customHeight="1">
      <c r="D248" s="114"/>
    </row>
    <row r="249" ht="19.5" customHeight="1">
      <c r="D249" s="114"/>
    </row>
    <row r="250" ht="19.5" customHeight="1">
      <c r="D250" s="114"/>
    </row>
    <row r="251" ht="19.5" customHeight="1">
      <c r="D251" s="114"/>
    </row>
    <row r="252" ht="19.5" customHeight="1">
      <c r="D252" s="114"/>
    </row>
    <row r="253" ht="19.5" customHeight="1">
      <c r="D253" s="114"/>
    </row>
    <row r="254" ht="19.5" customHeight="1">
      <c r="D254" s="114"/>
    </row>
    <row r="255" ht="19.5" customHeight="1">
      <c r="D255" s="114"/>
    </row>
    <row r="256" ht="19.5" customHeight="1">
      <c r="D256" s="114"/>
    </row>
    <row r="257" ht="19.5" customHeight="1">
      <c r="D257" s="114"/>
    </row>
    <row r="258" ht="19.5" customHeight="1">
      <c r="D258" s="114"/>
    </row>
    <row r="259" ht="19.5" customHeight="1">
      <c r="D259" s="114"/>
    </row>
    <row r="260" ht="19.5" customHeight="1">
      <c r="D260" s="114"/>
    </row>
    <row r="261" ht="19.5" customHeight="1">
      <c r="D261" s="114"/>
    </row>
    <row r="262" ht="19.5" customHeight="1">
      <c r="D262" s="114"/>
    </row>
    <row r="263" ht="19.5" customHeight="1">
      <c r="D263" s="114"/>
    </row>
    <row r="264" ht="19.5" customHeight="1">
      <c r="D264" s="114"/>
    </row>
    <row r="265" ht="19.5" customHeight="1">
      <c r="D265" s="114"/>
    </row>
    <row r="266" ht="19.5" customHeight="1">
      <c r="D266" s="114"/>
    </row>
    <row r="267" ht="19.5" customHeight="1">
      <c r="D267" s="114"/>
    </row>
    <row r="268" ht="19.5" customHeight="1">
      <c r="D268" s="114"/>
    </row>
    <row r="269" ht="19.5" customHeight="1">
      <c r="D269" s="114"/>
    </row>
    <row r="270" ht="19.5" customHeight="1">
      <c r="D270" s="114"/>
    </row>
    <row r="271" ht="19.5" customHeight="1">
      <c r="D271" s="114"/>
    </row>
    <row r="272" ht="19.5" customHeight="1">
      <c r="D272" s="114"/>
    </row>
    <row r="273" ht="19.5" customHeight="1">
      <c r="D273" s="114"/>
    </row>
    <row r="274" ht="19.5" customHeight="1">
      <c r="D274" s="114"/>
    </row>
    <row r="275" ht="19.5" customHeight="1">
      <c r="D275" s="114"/>
    </row>
    <row r="276" ht="19.5" customHeight="1">
      <c r="D276" s="114"/>
    </row>
    <row r="277" ht="19.5" customHeight="1">
      <c r="D277" s="114"/>
    </row>
    <row r="278" ht="19.5" customHeight="1">
      <c r="D278" s="114"/>
    </row>
    <row r="279" ht="19.5" customHeight="1">
      <c r="D279" s="114"/>
    </row>
    <row r="280" ht="19.5" customHeight="1">
      <c r="D280" s="114"/>
    </row>
    <row r="281" ht="19.5" customHeight="1">
      <c r="D281" s="114"/>
    </row>
    <row r="282" ht="19.5" customHeight="1">
      <c r="D282" s="114"/>
    </row>
    <row r="283" ht="19.5" customHeight="1">
      <c r="D283" s="114"/>
    </row>
    <row r="284" ht="19.5" customHeight="1">
      <c r="D284" s="114"/>
    </row>
    <row r="285" ht="19.5" customHeight="1">
      <c r="D285" s="114"/>
    </row>
    <row r="286" ht="19.5" customHeight="1">
      <c r="D286" s="114"/>
    </row>
    <row r="287" ht="19.5" customHeight="1">
      <c r="D287" s="114"/>
    </row>
    <row r="288" ht="19.5" customHeight="1">
      <c r="D288" s="114"/>
    </row>
    <row r="289" ht="19.5" customHeight="1">
      <c r="D289" s="114"/>
    </row>
    <row r="290" ht="19.5" customHeight="1">
      <c r="D290" s="114"/>
    </row>
    <row r="291" ht="19.5" customHeight="1">
      <c r="D291" s="114"/>
    </row>
    <row r="292" ht="19.5" customHeight="1">
      <c r="D292" s="114"/>
    </row>
    <row r="293" ht="19.5" customHeight="1">
      <c r="D293" s="114"/>
    </row>
    <row r="294" ht="19.5" customHeight="1">
      <c r="D294" s="114"/>
    </row>
    <row r="295" ht="19.5" customHeight="1">
      <c r="D295" s="114"/>
    </row>
    <row r="296" ht="19.5" customHeight="1">
      <c r="D296" s="114"/>
    </row>
    <row r="297" ht="19.5" customHeight="1">
      <c r="D297" s="114"/>
    </row>
    <row r="298" ht="19.5" customHeight="1">
      <c r="D298" s="114"/>
    </row>
    <row r="299" ht="19.5" customHeight="1">
      <c r="D299" s="114"/>
    </row>
    <row r="300" ht="19.5" customHeight="1">
      <c r="D300" s="114"/>
    </row>
    <row r="301" ht="19.5" customHeight="1">
      <c r="D301" s="114"/>
    </row>
    <row r="302" ht="19.5" customHeight="1">
      <c r="D302" s="114"/>
    </row>
    <row r="303" ht="19.5" customHeight="1">
      <c r="D303" s="114"/>
    </row>
    <row r="304" ht="19.5" customHeight="1">
      <c r="D304" s="114"/>
    </row>
    <row r="305" ht="19.5" customHeight="1">
      <c r="D305" s="114"/>
    </row>
    <row r="306" ht="19.5" customHeight="1">
      <c r="D306" s="114"/>
    </row>
    <row r="307" ht="19.5" customHeight="1">
      <c r="D307" s="114"/>
    </row>
    <row r="308" ht="19.5" customHeight="1">
      <c r="D308" s="114"/>
    </row>
    <row r="309" ht="19.5" customHeight="1">
      <c r="D309" s="114"/>
    </row>
    <row r="310" ht="19.5" customHeight="1">
      <c r="D310" s="114"/>
    </row>
    <row r="311" ht="19.5" customHeight="1">
      <c r="D311" s="114"/>
    </row>
    <row r="312" ht="19.5" customHeight="1">
      <c r="D312" s="114"/>
    </row>
    <row r="313" ht="19.5" customHeight="1">
      <c r="D313" s="114"/>
    </row>
    <row r="314" ht="19.5" customHeight="1">
      <c r="D314" s="114"/>
    </row>
    <row r="315" ht="19.5" customHeight="1">
      <c r="D315" s="114"/>
    </row>
    <row r="316" ht="19.5" customHeight="1">
      <c r="D316" s="114"/>
    </row>
    <row r="317" ht="19.5" customHeight="1">
      <c r="D317" s="114"/>
    </row>
    <row r="318" ht="19.5" customHeight="1">
      <c r="D318" s="114"/>
    </row>
    <row r="319" ht="19.5" customHeight="1">
      <c r="D319" s="114"/>
    </row>
    <row r="320" ht="19.5" customHeight="1">
      <c r="D320" s="114"/>
    </row>
    <row r="321" ht="19.5" customHeight="1">
      <c r="D321" s="114"/>
    </row>
    <row r="322" ht="19.5" customHeight="1">
      <c r="D322" s="114"/>
    </row>
    <row r="323" ht="19.5" customHeight="1">
      <c r="D323" s="114"/>
    </row>
    <row r="324" ht="19.5" customHeight="1">
      <c r="D324" s="114"/>
    </row>
    <row r="325" ht="19.5" customHeight="1">
      <c r="D325" s="114"/>
    </row>
    <row r="326" ht="19.5" customHeight="1">
      <c r="D326" s="114"/>
    </row>
    <row r="327" ht="19.5" customHeight="1">
      <c r="D327" s="114"/>
    </row>
    <row r="328" ht="19.5" customHeight="1">
      <c r="D328" s="114"/>
    </row>
    <row r="329" ht="19.5" customHeight="1">
      <c r="D329" s="114"/>
    </row>
    <row r="330" ht="19.5" customHeight="1">
      <c r="D330" s="114"/>
    </row>
    <row r="331" ht="19.5" customHeight="1">
      <c r="D331" s="114"/>
    </row>
    <row r="332" ht="19.5" customHeight="1">
      <c r="D332" s="114"/>
    </row>
    <row r="333" ht="19.5" customHeight="1">
      <c r="D333" s="114"/>
    </row>
    <row r="334" ht="19.5" customHeight="1">
      <c r="D334" s="114"/>
    </row>
    <row r="335" ht="19.5" customHeight="1">
      <c r="D335" s="114"/>
    </row>
    <row r="336" ht="19.5" customHeight="1">
      <c r="D336" s="114"/>
    </row>
    <row r="337" ht="19.5" customHeight="1">
      <c r="D337" s="114"/>
    </row>
    <row r="338" ht="19.5" customHeight="1">
      <c r="D338" s="114"/>
    </row>
    <row r="339" ht="19.5" customHeight="1">
      <c r="D339" s="114"/>
    </row>
    <row r="340" ht="19.5" customHeight="1">
      <c r="D340" s="114"/>
    </row>
    <row r="341" ht="19.5" customHeight="1">
      <c r="D341" s="114"/>
    </row>
    <row r="342" ht="19.5" customHeight="1">
      <c r="D342" s="114"/>
    </row>
    <row r="343" ht="19.5" customHeight="1">
      <c r="D343" s="114"/>
    </row>
    <row r="344" ht="19.5" customHeight="1">
      <c r="D344" s="114"/>
    </row>
    <row r="345" ht="19.5" customHeight="1">
      <c r="D345" s="114"/>
    </row>
    <row r="346" ht="19.5" customHeight="1">
      <c r="D346" s="114"/>
    </row>
    <row r="347" ht="19.5" customHeight="1">
      <c r="D347" s="114"/>
    </row>
    <row r="348" ht="19.5" customHeight="1">
      <c r="D348" s="114"/>
    </row>
    <row r="349" ht="19.5" customHeight="1">
      <c r="D349" s="114"/>
    </row>
    <row r="350" ht="19.5" customHeight="1">
      <c r="D350" s="114"/>
    </row>
    <row r="351" ht="19.5" customHeight="1">
      <c r="D351" s="114"/>
    </row>
    <row r="352" ht="19.5" customHeight="1">
      <c r="D352" s="114"/>
    </row>
    <row r="353" ht="19.5" customHeight="1">
      <c r="D353" s="114"/>
    </row>
    <row r="354" ht="19.5" customHeight="1">
      <c r="D354" s="114"/>
    </row>
    <row r="355" ht="19.5" customHeight="1">
      <c r="D355" s="114"/>
    </row>
    <row r="356" ht="19.5" customHeight="1">
      <c r="D356" s="114"/>
    </row>
    <row r="357" ht="19.5" customHeight="1">
      <c r="D357" s="114"/>
    </row>
    <row r="358" ht="19.5" customHeight="1">
      <c r="D358" s="114"/>
    </row>
    <row r="359" ht="19.5" customHeight="1">
      <c r="D359" s="114"/>
    </row>
    <row r="360" ht="19.5" customHeight="1">
      <c r="D360" s="114"/>
    </row>
    <row r="361" ht="19.5" customHeight="1">
      <c r="D361" s="114"/>
    </row>
    <row r="362" ht="19.5" customHeight="1">
      <c r="D362" s="114"/>
    </row>
    <row r="363" ht="19.5" customHeight="1">
      <c r="D363" s="114"/>
    </row>
    <row r="364" ht="19.5" customHeight="1">
      <c r="D364" s="114"/>
    </row>
    <row r="365" ht="19.5" customHeight="1">
      <c r="D365" s="114"/>
    </row>
    <row r="366" ht="19.5" customHeight="1">
      <c r="D366" s="114"/>
    </row>
    <row r="367" ht="19.5" customHeight="1">
      <c r="D367" s="114"/>
    </row>
    <row r="368" ht="19.5" customHeight="1">
      <c r="D368" s="114"/>
    </row>
    <row r="369" ht="19.5" customHeight="1">
      <c r="D369" s="114"/>
    </row>
    <row r="370" ht="19.5" customHeight="1">
      <c r="D370" s="114"/>
    </row>
    <row r="371" ht="19.5" customHeight="1">
      <c r="D371" s="114"/>
    </row>
    <row r="372" ht="19.5" customHeight="1">
      <c r="D372" s="114"/>
    </row>
    <row r="373" ht="19.5" customHeight="1">
      <c r="D373" s="114"/>
    </row>
    <row r="374" ht="19.5" customHeight="1">
      <c r="D374" s="114"/>
    </row>
    <row r="375" ht="19.5" customHeight="1">
      <c r="D375" s="114"/>
    </row>
    <row r="376" ht="19.5" customHeight="1">
      <c r="D376" s="114"/>
    </row>
    <row r="377" ht="19.5" customHeight="1">
      <c r="D377" s="114"/>
    </row>
    <row r="378" ht="19.5" customHeight="1">
      <c r="D378" s="114"/>
    </row>
    <row r="379" ht="19.5" customHeight="1">
      <c r="D379" s="114"/>
    </row>
    <row r="380" ht="19.5" customHeight="1">
      <c r="D380" s="114"/>
    </row>
    <row r="381" ht="19.5" customHeight="1">
      <c r="D381" s="114"/>
    </row>
    <row r="382" ht="19.5" customHeight="1">
      <c r="D382" s="114"/>
    </row>
    <row r="383" ht="19.5" customHeight="1">
      <c r="D383" s="114"/>
    </row>
    <row r="384" ht="19.5" customHeight="1">
      <c r="D384" s="114"/>
    </row>
    <row r="385" ht="19.5" customHeight="1">
      <c r="D385" s="114"/>
    </row>
    <row r="386" ht="19.5" customHeight="1">
      <c r="D386" s="114"/>
    </row>
    <row r="387" ht="19.5" customHeight="1">
      <c r="D387" s="114"/>
    </row>
    <row r="388" ht="19.5" customHeight="1">
      <c r="D388" s="114"/>
    </row>
    <row r="389" ht="19.5" customHeight="1">
      <c r="D389" s="114"/>
    </row>
    <row r="390" ht="19.5" customHeight="1">
      <c r="D390" s="114"/>
    </row>
    <row r="391" ht="19.5" customHeight="1">
      <c r="D391" s="114"/>
    </row>
    <row r="392" ht="19.5" customHeight="1">
      <c r="D392" s="114"/>
    </row>
    <row r="393" ht="19.5" customHeight="1">
      <c r="D393" s="114"/>
    </row>
    <row r="394" ht="19.5" customHeight="1">
      <c r="D394" s="114"/>
    </row>
    <row r="395" ht="19.5" customHeight="1">
      <c r="D395" s="114"/>
    </row>
    <row r="396" ht="19.5" customHeight="1">
      <c r="D396" s="114"/>
    </row>
    <row r="397" ht="19.5" customHeight="1">
      <c r="D397" s="114"/>
    </row>
    <row r="398" ht="19.5" customHeight="1">
      <c r="D398" s="114"/>
    </row>
    <row r="399" ht="19.5" customHeight="1">
      <c r="D399" s="114"/>
    </row>
    <row r="400" ht="19.5" customHeight="1">
      <c r="D400" s="114"/>
    </row>
    <row r="401" ht="19.5" customHeight="1">
      <c r="D401" s="114"/>
    </row>
    <row r="402" ht="19.5" customHeight="1">
      <c r="D402" s="114"/>
    </row>
    <row r="403" ht="19.5" customHeight="1">
      <c r="D403" s="114"/>
    </row>
    <row r="404" ht="19.5" customHeight="1">
      <c r="D404" s="114"/>
    </row>
    <row r="405" ht="19.5" customHeight="1">
      <c r="D405" s="114"/>
    </row>
    <row r="406" ht="19.5" customHeight="1">
      <c r="D406" s="114"/>
    </row>
    <row r="407" ht="19.5" customHeight="1">
      <c r="D407" s="114"/>
    </row>
    <row r="408" ht="19.5" customHeight="1">
      <c r="D408" s="114"/>
    </row>
    <row r="409" ht="19.5" customHeight="1">
      <c r="D409" s="114"/>
    </row>
    <row r="410" ht="19.5" customHeight="1">
      <c r="D410" s="114"/>
    </row>
    <row r="411" ht="19.5" customHeight="1">
      <c r="D411" s="114"/>
    </row>
    <row r="412" ht="19.5" customHeight="1">
      <c r="D412" s="114"/>
    </row>
    <row r="413" ht="19.5" customHeight="1">
      <c r="D413" s="114"/>
    </row>
    <row r="414" ht="19.5" customHeight="1">
      <c r="D414" s="114"/>
    </row>
    <row r="415" ht="19.5" customHeight="1">
      <c r="D415" s="114"/>
    </row>
    <row r="416" ht="19.5" customHeight="1">
      <c r="D416" s="114"/>
    </row>
    <row r="417" ht="19.5" customHeight="1">
      <c r="D417" s="114"/>
    </row>
    <row r="418" ht="19.5" customHeight="1">
      <c r="D418" s="114"/>
    </row>
    <row r="419" ht="19.5" customHeight="1">
      <c r="D419" s="114"/>
    </row>
    <row r="420" ht="19.5" customHeight="1">
      <c r="D420" s="114"/>
    </row>
    <row r="421" ht="19.5" customHeight="1">
      <c r="D421" s="114"/>
    </row>
    <row r="422" ht="19.5" customHeight="1">
      <c r="D422" s="114"/>
    </row>
    <row r="423" ht="19.5" customHeight="1">
      <c r="D423" s="114"/>
    </row>
    <row r="424" ht="19.5" customHeight="1">
      <c r="D424" s="114"/>
    </row>
    <row r="425" ht="19.5" customHeight="1">
      <c r="D425" s="114"/>
    </row>
    <row r="426" ht="19.5" customHeight="1">
      <c r="D426" s="114"/>
    </row>
    <row r="427" ht="19.5" customHeight="1">
      <c r="D427" s="114"/>
    </row>
    <row r="428" ht="19.5" customHeight="1">
      <c r="D428" s="114"/>
    </row>
    <row r="429" ht="19.5" customHeight="1">
      <c r="D429" s="114"/>
    </row>
    <row r="430" ht="19.5" customHeight="1">
      <c r="D430" s="114"/>
    </row>
    <row r="431" ht="19.5" customHeight="1">
      <c r="D431" s="114"/>
    </row>
    <row r="432" ht="19.5" customHeight="1">
      <c r="D432" s="114"/>
    </row>
    <row r="433" ht="19.5" customHeight="1">
      <c r="D433" s="114"/>
    </row>
    <row r="434" ht="19.5" customHeight="1">
      <c r="D434" s="114"/>
    </row>
    <row r="435" ht="19.5" customHeight="1">
      <c r="D435" s="114"/>
    </row>
    <row r="436" ht="19.5" customHeight="1">
      <c r="D436" s="114"/>
    </row>
    <row r="437" ht="19.5" customHeight="1">
      <c r="D437" s="114"/>
    </row>
    <row r="438" ht="19.5" customHeight="1">
      <c r="D438" s="114"/>
    </row>
    <row r="439" ht="19.5" customHeight="1">
      <c r="D439" s="114"/>
    </row>
    <row r="440" ht="19.5" customHeight="1">
      <c r="D440" s="114"/>
    </row>
    <row r="441" ht="19.5" customHeight="1">
      <c r="D441" s="114"/>
    </row>
    <row r="442" ht="19.5" customHeight="1">
      <c r="D442" s="114"/>
    </row>
    <row r="443" ht="19.5" customHeight="1">
      <c r="D443" s="114"/>
    </row>
    <row r="444" ht="19.5" customHeight="1">
      <c r="D444" s="114"/>
    </row>
    <row r="445" ht="19.5" customHeight="1">
      <c r="D445" s="114"/>
    </row>
    <row r="446" ht="19.5" customHeight="1">
      <c r="D446" s="114"/>
    </row>
    <row r="447" ht="19.5" customHeight="1">
      <c r="D447" s="114"/>
    </row>
    <row r="448" ht="19.5" customHeight="1">
      <c r="D448" s="114"/>
    </row>
    <row r="449" ht="19.5" customHeight="1">
      <c r="D449" s="114"/>
    </row>
    <row r="450" ht="19.5" customHeight="1">
      <c r="D450" s="114"/>
    </row>
    <row r="451" ht="19.5" customHeight="1">
      <c r="D451" s="114"/>
    </row>
    <row r="452" ht="19.5" customHeight="1">
      <c r="D452" s="114"/>
    </row>
    <row r="453" ht="19.5" customHeight="1">
      <c r="D453" s="114"/>
    </row>
    <row r="454" ht="19.5" customHeight="1">
      <c r="D454" s="114"/>
    </row>
    <row r="455" ht="19.5" customHeight="1">
      <c r="D455" s="114"/>
    </row>
    <row r="456" ht="19.5" customHeight="1">
      <c r="D456" s="114"/>
    </row>
    <row r="457" ht="19.5" customHeight="1">
      <c r="D457" s="114"/>
    </row>
    <row r="458" ht="19.5" customHeight="1">
      <c r="D458" s="114"/>
    </row>
    <row r="459" ht="19.5" customHeight="1">
      <c r="D459" s="114"/>
    </row>
    <row r="460" ht="19.5" customHeight="1">
      <c r="D460" s="114"/>
    </row>
    <row r="461" ht="19.5" customHeight="1">
      <c r="D461" s="114"/>
    </row>
    <row r="462" ht="19.5" customHeight="1">
      <c r="D462" s="114"/>
    </row>
    <row r="463" ht="19.5" customHeight="1">
      <c r="D463" s="114"/>
    </row>
    <row r="464" ht="19.5" customHeight="1">
      <c r="D464" s="114"/>
    </row>
    <row r="465" ht="19.5" customHeight="1">
      <c r="D465" s="114"/>
    </row>
    <row r="466" ht="19.5" customHeight="1">
      <c r="D466" s="114"/>
    </row>
    <row r="467" ht="19.5" customHeight="1">
      <c r="D467" s="114"/>
    </row>
    <row r="468" ht="19.5" customHeight="1">
      <c r="D468" s="114"/>
    </row>
    <row r="469" ht="19.5" customHeight="1">
      <c r="D469" s="114"/>
    </row>
    <row r="470" ht="19.5" customHeight="1">
      <c r="D470" s="114"/>
    </row>
    <row r="471" ht="19.5" customHeight="1">
      <c r="D471" s="114"/>
    </row>
    <row r="472" ht="19.5" customHeight="1">
      <c r="D472" s="114"/>
    </row>
    <row r="473" ht="19.5" customHeight="1">
      <c r="D473" s="114"/>
    </row>
    <row r="474" ht="19.5" customHeight="1">
      <c r="D474" s="114"/>
    </row>
    <row r="475" ht="19.5" customHeight="1">
      <c r="D475" s="114"/>
    </row>
    <row r="476" ht="19.5" customHeight="1">
      <c r="D476" s="114"/>
    </row>
    <row r="477" ht="19.5" customHeight="1">
      <c r="D477" s="114"/>
    </row>
    <row r="478" ht="19.5" customHeight="1">
      <c r="D478" s="114"/>
    </row>
    <row r="479" ht="19.5" customHeight="1">
      <c r="D479" s="114"/>
    </row>
    <row r="480" ht="19.5" customHeight="1">
      <c r="D480" s="114"/>
    </row>
    <row r="481" ht="19.5" customHeight="1">
      <c r="D481" s="114"/>
    </row>
    <row r="482" ht="19.5" customHeight="1">
      <c r="D482" s="114"/>
    </row>
    <row r="483" ht="19.5" customHeight="1">
      <c r="D483" s="114"/>
    </row>
    <row r="484" ht="19.5" customHeight="1">
      <c r="D484" s="114"/>
    </row>
    <row r="485" ht="19.5" customHeight="1">
      <c r="D485" s="114"/>
    </row>
    <row r="486" ht="19.5" customHeight="1">
      <c r="D486" s="114"/>
    </row>
    <row r="487" ht="19.5" customHeight="1">
      <c r="D487" s="114"/>
    </row>
    <row r="488" ht="19.5" customHeight="1">
      <c r="D488" s="114"/>
    </row>
    <row r="489" ht="19.5" customHeight="1">
      <c r="D489" s="114"/>
    </row>
    <row r="490" ht="19.5" customHeight="1">
      <c r="D490" s="114"/>
    </row>
    <row r="491" ht="19.5" customHeight="1">
      <c r="D491" s="114"/>
    </row>
    <row r="492" ht="19.5" customHeight="1">
      <c r="D492" s="114"/>
    </row>
    <row r="493" ht="19.5" customHeight="1">
      <c r="D493" s="114"/>
    </row>
    <row r="494" ht="19.5" customHeight="1">
      <c r="D494" s="114"/>
    </row>
    <row r="495" ht="19.5" customHeight="1">
      <c r="D495" s="114"/>
    </row>
    <row r="496" ht="19.5" customHeight="1">
      <c r="D496" s="114"/>
    </row>
    <row r="497" ht="19.5" customHeight="1">
      <c r="D497" s="114"/>
    </row>
    <row r="498" ht="19.5" customHeight="1">
      <c r="D498" s="114"/>
    </row>
    <row r="499" ht="19.5" customHeight="1">
      <c r="D499" s="114"/>
    </row>
    <row r="500" ht="19.5" customHeight="1">
      <c r="D500" s="114"/>
    </row>
    <row r="501" ht="19.5" customHeight="1">
      <c r="D501" s="114"/>
    </row>
    <row r="502" ht="19.5" customHeight="1">
      <c r="D502" s="114"/>
    </row>
    <row r="503" ht="19.5" customHeight="1">
      <c r="D503" s="114"/>
    </row>
    <row r="504" ht="19.5" customHeight="1">
      <c r="D504" s="114"/>
    </row>
    <row r="505" ht="19.5" customHeight="1">
      <c r="D505" s="114"/>
    </row>
    <row r="506" ht="19.5" customHeight="1">
      <c r="D506" s="114"/>
    </row>
    <row r="507" ht="19.5" customHeight="1">
      <c r="D507" s="114"/>
    </row>
    <row r="508" ht="19.5" customHeight="1">
      <c r="D508" s="114"/>
    </row>
    <row r="509" ht="19.5" customHeight="1">
      <c r="D509" s="114"/>
    </row>
    <row r="510" ht="19.5" customHeight="1">
      <c r="D510" s="114"/>
    </row>
    <row r="511" ht="19.5" customHeight="1">
      <c r="D511" s="114"/>
    </row>
    <row r="512" ht="19.5" customHeight="1">
      <c r="D512" s="114"/>
    </row>
    <row r="513" ht="19.5" customHeight="1">
      <c r="D513" s="114"/>
    </row>
    <row r="514" ht="19.5" customHeight="1">
      <c r="D514" s="114"/>
    </row>
    <row r="515" ht="19.5" customHeight="1">
      <c r="D515" s="114"/>
    </row>
    <row r="516" ht="19.5" customHeight="1">
      <c r="D516" s="114"/>
    </row>
    <row r="517" ht="19.5" customHeight="1">
      <c r="D517" s="114"/>
    </row>
    <row r="518" ht="19.5" customHeight="1">
      <c r="D518" s="114"/>
    </row>
    <row r="519" ht="19.5" customHeight="1">
      <c r="D519" s="114"/>
    </row>
    <row r="520" ht="19.5" customHeight="1">
      <c r="D520" s="114"/>
    </row>
    <row r="521" ht="19.5" customHeight="1">
      <c r="D521" s="114"/>
    </row>
    <row r="522" ht="19.5" customHeight="1">
      <c r="D522" s="114"/>
    </row>
    <row r="523" ht="19.5" customHeight="1">
      <c r="D523" s="114"/>
    </row>
    <row r="524" ht="19.5" customHeight="1">
      <c r="D524" s="114"/>
    </row>
    <row r="525" ht="19.5" customHeight="1">
      <c r="D525" s="114"/>
    </row>
    <row r="526" ht="19.5" customHeight="1">
      <c r="D526" s="114"/>
    </row>
    <row r="527" ht="19.5" customHeight="1">
      <c r="D527" s="114"/>
    </row>
    <row r="528" ht="19.5" customHeight="1">
      <c r="D528" s="114"/>
    </row>
    <row r="529" ht="19.5" customHeight="1">
      <c r="D529" s="114"/>
    </row>
    <row r="530" ht="19.5" customHeight="1">
      <c r="D530" s="114"/>
    </row>
    <row r="531" ht="19.5" customHeight="1">
      <c r="D531" s="114"/>
    </row>
    <row r="532" ht="19.5" customHeight="1">
      <c r="D532" s="114"/>
    </row>
    <row r="533" ht="19.5" customHeight="1">
      <c r="D533" s="114"/>
    </row>
    <row r="534" ht="19.5" customHeight="1">
      <c r="D534" s="114"/>
    </row>
    <row r="535" ht="19.5" customHeight="1">
      <c r="D535" s="114"/>
    </row>
    <row r="536" ht="19.5" customHeight="1">
      <c r="D536" s="114"/>
    </row>
    <row r="537" ht="19.5" customHeight="1">
      <c r="D537" s="114"/>
    </row>
    <row r="538" ht="19.5" customHeight="1">
      <c r="D538" s="114"/>
    </row>
    <row r="539" ht="19.5" customHeight="1">
      <c r="D539" s="114"/>
    </row>
    <row r="540" ht="19.5" customHeight="1">
      <c r="D540" s="114"/>
    </row>
    <row r="541" ht="19.5" customHeight="1">
      <c r="D541" s="114"/>
    </row>
    <row r="542" ht="19.5" customHeight="1">
      <c r="D542" s="114"/>
    </row>
    <row r="543" ht="19.5" customHeight="1">
      <c r="D543" s="114"/>
    </row>
    <row r="544" ht="19.5" customHeight="1">
      <c r="D544" s="114"/>
    </row>
    <row r="545" ht="19.5" customHeight="1">
      <c r="D545" s="114"/>
    </row>
    <row r="546" ht="19.5" customHeight="1">
      <c r="D546" s="114"/>
    </row>
    <row r="547" ht="19.5" customHeight="1">
      <c r="D547" s="114"/>
    </row>
    <row r="548" ht="19.5" customHeight="1">
      <c r="D548" s="114"/>
    </row>
    <row r="549" ht="19.5" customHeight="1">
      <c r="D549" s="114"/>
    </row>
    <row r="550" ht="19.5" customHeight="1">
      <c r="D550" s="114"/>
    </row>
    <row r="551" ht="19.5" customHeight="1">
      <c r="D551" s="114"/>
    </row>
    <row r="552" ht="19.5" customHeight="1">
      <c r="D552" s="114"/>
    </row>
    <row r="553" ht="19.5" customHeight="1">
      <c r="D553" s="114"/>
    </row>
    <row r="554" ht="19.5" customHeight="1">
      <c r="D554" s="114"/>
    </row>
    <row r="555" ht="19.5" customHeight="1">
      <c r="D555" s="114"/>
    </row>
    <row r="556" ht="19.5" customHeight="1">
      <c r="D556" s="114"/>
    </row>
    <row r="557" ht="19.5" customHeight="1">
      <c r="D557" s="114"/>
    </row>
    <row r="558" ht="19.5" customHeight="1">
      <c r="D558" s="114"/>
    </row>
    <row r="559" ht="19.5" customHeight="1">
      <c r="D559" s="114"/>
    </row>
    <row r="560" ht="19.5" customHeight="1">
      <c r="D560" s="114"/>
    </row>
    <row r="561" ht="19.5" customHeight="1">
      <c r="D561" s="114"/>
    </row>
    <row r="562" ht="19.5" customHeight="1">
      <c r="D562" s="114"/>
    </row>
    <row r="563" ht="19.5" customHeight="1">
      <c r="D563" s="114"/>
    </row>
    <row r="564" ht="19.5" customHeight="1">
      <c r="D564" s="114"/>
    </row>
    <row r="565" ht="19.5" customHeight="1">
      <c r="D565" s="114"/>
    </row>
    <row r="566" ht="19.5" customHeight="1">
      <c r="D566" s="114"/>
    </row>
    <row r="567" ht="19.5" customHeight="1">
      <c r="D567" s="114"/>
    </row>
    <row r="568" ht="19.5" customHeight="1">
      <c r="D568" s="114"/>
    </row>
    <row r="569" ht="19.5" customHeight="1">
      <c r="D569" s="114"/>
    </row>
    <row r="570" ht="19.5" customHeight="1">
      <c r="D570" s="114"/>
    </row>
    <row r="571" ht="19.5" customHeight="1">
      <c r="D571" s="114"/>
    </row>
    <row r="572" ht="19.5" customHeight="1">
      <c r="D572" s="114"/>
    </row>
    <row r="573" ht="19.5" customHeight="1">
      <c r="D573" s="114"/>
    </row>
    <row r="574" ht="19.5" customHeight="1">
      <c r="D574" s="114"/>
    </row>
    <row r="575" ht="19.5" customHeight="1">
      <c r="D575" s="114"/>
    </row>
    <row r="576" ht="19.5" customHeight="1">
      <c r="D576" s="114"/>
    </row>
    <row r="577" ht="19.5" customHeight="1">
      <c r="D577" s="114"/>
    </row>
    <row r="578" ht="19.5" customHeight="1">
      <c r="D578" s="114"/>
    </row>
    <row r="579" ht="19.5" customHeight="1">
      <c r="D579" s="114"/>
    </row>
    <row r="580" ht="19.5" customHeight="1">
      <c r="D580" s="114"/>
    </row>
    <row r="581" ht="19.5" customHeight="1">
      <c r="D581" s="114"/>
    </row>
    <row r="582" ht="19.5" customHeight="1">
      <c r="D582" s="114"/>
    </row>
    <row r="583" ht="19.5" customHeight="1">
      <c r="D583" s="114"/>
    </row>
    <row r="584" ht="19.5" customHeight="1">
      <c r="D584" s="114"/>
    </row>
    <row r="585" ht="19.5" customHeight="1">
      <c r="D585" s="114"/>
    </row>
    <row r="586" ht="19.5" customHeight="1">
      <c r="D586" s="114"/>
    </row>
    <row r="587" ht="19.5" customHeight="1">
      <c r="D587" s="114"/>
    </row>
    <row r="588" ht="19.5" customHeight="1">
      <c r="D588" s="114"/>
    </row>
    <row r="589" ht="19.5" customHeight="1">
      <c r="D589" s="114"/>
    </row>
    <row r="590" ht="19.5" customHeight="1">
      <c r="D590" s="114"/>
    </row>
    <row r="591" ht="19.5" customHeight="1">
      <c r="D591" s="114"/>
    </row>
    <row r="592" ht="19.5" customHeight="1">
      <c r="D592" s="114"/>
    </row>
    <row r="593" ht="19.5" customHeight="1">
      <c r="D593" s="114"/>
    </row>
    <row r="594" ht="19.5" customHeight="1">
      <c r="D594" s="114"/>
    </row>
    <row r="595" ht="19.5" customHeight="1">
      <c r="D595" s="114"/>
    </row>
    <row r="596" ht="19.5" customHeight="1">
      <c r="D596" s="114"/>
    </row>
    <row r="597" ht="19.5" customHeight="1">
      <c r="D597" s="114"/>
    </row>
    <row r="598" ht="19.5" customHeight="1">
      <c r="D598" s="114"/>
    </row>
    <row r="599" ht="19.5" customHeight="1">
      <c r="D599" s="114"/>
    </row>
    <row r="600" ht="19.5" customHeight="1">
      <c r="D600" s="114"/>
    </row>
    <row r="601" ht="19.5" customHeight="1">
      <c r="D601" s="114"/>
    </row>
    <row r="602" ht="19.5" customHeight="1">
      <c r="D602" s="114"/>
    </row>
    <row r="603" ht="19.5" customHeight="1">
      <c r="D603" s="114"/>
    </row>
    <row r="604" ht="19.5" customHeight="1">
      <c r="D604" s="114"/>
    </row>
    <row r="605" ht="19.5" customHeight="1">
      <c r="D605" s="114"/>
    </row>
    <row r="606" ht="19.5" customHeight="1">
      <c r="D606" s="114"/>
    </row>
    <row r="607" ht="19.5" customHeight="1">
      <c r="D607" s="114"/>
    </row>
    <row r="608" ht="19.5" customHeight="1">
      <c r="D608" s="114"/>
    </row>
    <row r="609" ht="19.5" customHeight="1">
      <c r="D609" s="114"/>
    </row>
    <row r="610" ht="19.5" customHeight="1">
      <c r="D610" s="114"/>
    </row>
    <row r="611" ht="19.5" customHeight="1">
      <c r="D611" s="114"/>
    </row>
    <row r="612" ht="19.5" customHeight="1">
      <c r="D612" s="114"/>
    </row>
    <row r="613" ht="19.5" customHeight="1">
      <c r="D613" s="114"/>
    </row>
    <row r="614" ht="19.5" customHeight="1">
      <c r="D614" s="114"/>
    </row>
    <row r="615" ht="19.5" customHeight="1">
      <c r="D615" s="114"/>
    </row>
    <row r="616" ht="19.5" customHeight="1">
      <c r="D616" s="114"/>
    </row>
    <row r="617" ht="19.5" customHeight="1">
      <c r="D617" s="114"/>
    </row>
    <row r="618" ht="19.5" customHeight="1">
      <c r="D618" s="114"/>
    </row>
    <row r="619" ht="19.5" customHeight="1">
      <c r="D619" s="114"/>
    </row>
    <row r="620" ht="19.5" customHeight="1">
      <c r="D620" s="114"/>
    </row>
    <row r="621" ht="19.5" customHeight="1">
      <c r="D621" s="114"/>
    </row>
    <row r="622" ht="19.5" customHeight="1">
      <c r="D622" s="114"/>
    </row>
    <row r="623" ht="19.5" customHeight="1">
      <c r="D623" s="114"/>
    </row>
    <row r="624" ht="19.5" customHeight="1">
      <c r="D624" s="114"/>
    </row>
    <row r="625" ht="19.5" customHeight="1">
      <c r="D625" s="114"/>
    </row>
    <row r="626" ht="19.5" customHeight="1">
      <c r="D626" s="114"/>
    </row>
    <row r="627" ht="19.5" customHeight="1">
      <c r="D627" s="114"/>
    </row>
    <row r="628" ht="19.5" customHeight="1">
      <c r="D628" s="114"/>
    </row>
    <row r="629" ht="19.5" customHeight="1">
      <c r="D629" s="114"/>
    </row>
    <row r="630" ht="19.5" customHeight="1">
      <c r="D630" s="114"/>
    </row>
    <row r="631" ht="19.5" customHeight="1">
      <c r="D631" s="114"/>
    </row>
    <row r="632" ht="19.5" customHeight="1">
      <c r="D632" s="114"/>
    </row>
    <row r="633" ht="19.5" customHeight="1">
      <c r="D633" s="114"/>
    </row>
    <row r="634" ht="19.5" customHeight="1">
      <c r="D634" s="114"/>
    </row>
    <row r="635" ht="19.5" customHeight="1">
      <c r="D635" s="114"/>
    </row>
    <row r="636" ht="19.5" customHeight="1">
      <c r="D636" s="114"/>
    </row>
    <row r="637" ht="19.5" customHeight="1">
      <c r="D637" s="114"/>
    </row>
    <row r="638" ht="19.5" customHeight="1">
      <c r="D638" s="114"/>
    </row>
    <row r="639" ht="19.5" customHeight="1">
      <c r="D639" s="114"/>
    </row>
    <row r="640" ht="19.5" customHeight="1">
      <c r="D640" s="114"/>
    </row>
    <row r="641" ht="19.5" customHeight="1">
      <c r="D641" s="114"/>
    </row>
    <row r="642" ht="19.5" customHeight="1">
      <c r="D642" s="114"/>
    </row>
    <row r="643" ht="19.5" customHeight="1">
      <c r="D643" s="114"/>
    </row>
    <row r="644" ht="19.5" customHeight="1">
      <c r="D644" s="114"/>
    </row>
    <row r="645" ht="19.5" customHeight="1">
      <c r="D645" s="114"/>
    </row>
    <row r="646" ht="19.5" customHeight="1">
      <c r="D646" s="114"/>
    </row>
    <row r="647" ht="19.5" customHeight="1">
      <c r="D647" s="114"/>
    </row>
    <row r="648" ht="19.5" customHeight="1">
      <c r="D648" s="114"/>
    </row>
    <row r="649" ht="19.5" customHeight="1">
      <c r="D649" s="114"/>
    </row>
    <row r="650" ht="19.5" customHeight="1">
      <c r="D650" s="114"/>
    </row>
    <row r="651" ht="19.5" customHeight="1">
      <c r="D651" s="114"/>
    </row>
    <row r="652" ht="19.5" customHeight="1">
      <c r="D652" s="114"/>
    </row>
    <row r="653" ht="19.5" customHeight="1">
      <c r="D653" s="114"/>
    </row>
    <row r="654" ht="19.5" customHeight="1">
      <c r="D654" s="114"/>
    </row>
    <row r="655" ht="19.5" customHeight="1">
      <c r="D655" s="114"/>
    </row>
    <row r="656" ht="19.5" customHeight="1">
      <c r="D656" s="114"/>
    </row>
    <row r="657" ht="19.5" customHeight="1">
      <c r="D657" s="114"/>
    </row>
    <row r="658" ht="19.5" customHeight="1">
      <c r="D658" s="114"/>
    </row>
    <row r="659" ht="19.5" customHeight="1">
      <c r="D659" s="114"/>
    </row>
    <row r="660" ht="19.5" customHeight="1">
      <c r="D660" s="114"/>
    </row>
    <row r="661" ht="19.5" customHeight="1">
      <c r="D661" s="114"/>
    </row>
    <row r="662" ht="19.5" customHeight="1">
      <c r="D662" s="114"/>
    </row>
    <row r="663" ht="19.5" customHeight="1">
      <c r="D663" s="114"/>
    </row>
    <row r="664" ht="19.5" customHeight="1">
      <c r="D664" s="114"/>
    </row>
    <row r="665" ht="19.5" customHeight="1">
      <c r="D665" s="114"/>
    </row>
    <row r="666" ht="19.5" customHeight="1">
      <c r="D666" s="114"/>
    </row>
    <row r="667" ht="19.5" customHeight="1">
      <c r="D667" s="114"/>
    </row>
    <row r="668" ht="19.5" customHeight="1">
      <c r="D668" s="114"/>
    </row>
    <row r="669" ht="19.5" customHeight="1">
      <c r="D669" s="114"/>
    </row>
    <row r="670" ht="19.5" customHeight="1">
      <c r="D670" s="114"/>
    </row>
    <row r="671" ht="19.5" customHeight="1">
      <c r="D671" s="114"/>
    </row>
    <row r="672" ht="19.5" customHeight="1">
      <c r="D672" s="114"/>
    </row>
    <row r="673" ht="19.5" customHeight="1">
      <c r="D673" s="114"/>
    </row>
    <row r="674" ht="19.5" customHeight="1">
      <c r="D674" s="114"/>
    </row>
    <row r="675" ht="19.5" customHeight="1">
      <c r="D675" s="114"/>
    </row>
    <row r="676" ht="19.5" customHeight="1">
      <c r="D676" s="114"/>
    </row>
    <row r="677" ht="19.5" customHeight="1">
      <c r="D677" s="114"/>
    </row>
    <row r="678" ht="19.5" customHeight="1">
      <c r="D678" s="114"/>
    </row>
    <row r="679" ht="19.5" customHeight="1">
      <c r="D679" s="114"/>
    </row>
    <row r="680" ht="19.5" customHeight="1">
      <c r="D680" s="114"/>
    </row>
    <row r="681" ht="19.5" customHeight="1">
      <c r="D681" s="114"/>
    </row>
    <row r="682" ht="19.5" customHeight="1">
      <c r="D682" s="114"/>
    </row>
    <row r="683" ht="19.5" customHeight="1">
      <c r="D683" s="114"/>
    </row>
    <row r="684" ht="19.5" customHeight="1">
      <c r="D684" s="114"/>
    </row>
    <row r="685" ht="19.5" customHeight="1">
      <c r="D685" s="114"/>
    </row>
    <row r="686" ht="19.5" customHeight="1">
      <c r="D686" s="114"/>
    </row>
    <row r="687" ht="19.5" customHeight="1">
      <c r="D687" s="114"/>
    </row>
    <row r="688" ht="19.5" customHeight="1">
      <c r="D688" s="114"/>
    </row>
    <row r="689" ht="19.5" customHeight="1">
      <c r="D689" s="114"/>
    </row>
    <row r="690" ht="19.5" customHeight="1">
      <c r="D690" s="114"/>
    </row>
    <row r="691" ht="19.5" customHeight="1">
      <c r="D691" s="114"/>
    </row>
    <row r="692" ht="19.5" customHeight="1">
      <c r="D692" s="114"/>
    </row>
    <row r="693" ht="19.5" customHeight="1">
      <c r="D693" s="114"/>
    </row>
    <row r="694" ht="19.5" customHeight="1">
      <c r="D694" s="114"/>
    </row>
    <row r="695" ht="19.5" customHeight="1">
      <c r="D695" s="114"/>
    </row>
    <row r="696" ht="19.5" customHeight="1">
      <c r="D696" s="114"/>
    </row>
    <row r="697" ht="19.5" customHeight="1">
      <c r="D697" s="114"/>
    </row>
    <row r="698" ht="19.5" customHeight="1">
      <c r="D698" s="114"/>
    </row>
    <row r="699" ht="19.5" customHeight="1">
      <c r="D699" s="114"/>
    </row>
    <row r="700" ht="19.5" customHeight="1">
      <c r="D700" s="114"/>
    </row>
    <row r="701" ht="19.5" customHeight="1">
      <c r="D701" s="114"/>
    </row>
    <row r="702" ht="19.5" customHeight="1">
      <c r="D702" s="114"/>
    </row>
    <row r="703" ht="19.5" customHeight="1">
      <c r="D703" s="114"/>
    </row>
    <row r="704" ht="19.5" customHeight="1">
      <c r="D704" s="114"/>
    </row>
    <row r="705" ht="19.5" customHeight="1">
      <c r="D705" s="114"/>
    </row>
    <row r="706" ht="19.5" customHeight="1">
      <c r="D706" s="114"/>
    </row>
    <row r="707" ht="19.5" customHeight="1">
      <c r="D707" s="114"/>
    </row>
    <row r="708" ht="19.5" customHeight="1">
      <c r="D708" s="114"/>
    </row>
    <row r="709" ht="19.5" customHeight="1">
      <c r="D709" s="114"/>
    </row>
    <row r="710" ht="19.5" customHeight="1">
      <c r="D710" s="114"/>
    </row>
    <row r="711" ht="19.5" customHeight="1">
      <c r="D711" s="114"/>
    </row>
    <row r="712" ht="19.5" customHeight="1">
      <c r="D712" s="114"/>
    </row>
    <row r="713" ht="19.5" customHeight="1">
      <c r="D713" s="114"/>
    </row>
    <row r="714" ht="19.5" customHeight="1">
      <c r="D714" s="114"/>
    </row>
    <row r="715" ht="19.5" customHeight="1">
      <c r="D715" s="114"/>
    </row>
    <row r="716" ht="19.5" customHeight="1">
      <c r="D716" s="114"/>
    </row>
    <row r="717" ht="19.5" customHeight="1">
      <c r="D717" s="114"/>
    </row>
    <row r="718" ht="19.5" customHeight="1">
      <c r="D718" s="114"/>
    </row>
    <row r="719" ht="19.5" customHeight="1">
      <c r="D719" s="114"/>
    </row>
    <row r="720" ht="19.5" customHeight="1">
      <c r="D720" s="114"/>
    </row>
    <row r="721" ht="19.5" customHeight="1">
      <c r="D721" s="114"/>
    </row>
    <row r="722" ht="19.5" customHeight="1">
      <c r="D722" s="114"/>
    </row>
    <row r="723" ht="19.5" customHeight="1">
      <c r="D723" s="114"/>
    </row>
    <row r="724" ht="19.5" customHeight="1">
      <c r="D724" s="114"/>
    </row>
    <row r="725" ht="19.5" customHeight="1">
      <c r="D725" s="114"/>
    </row>
    <row r="726" ht="19.5" customHeight="1">
      <c r="D726" s="114"/>
    </row>
    <row r="727" ht="19.5" customHeight="1">
      <c r="D727" s="114"/>
    </row>
    <row r="728" ht="19.5" customHeight="1">
      <c r="D728" s="114"/>
    </row>
    <row r="729" ht="19.5" customHeight="1">
      <c r="D729" s="114"/>
    </row>
    <row r="730" ht="19.5" customHeight="1">
      <c r="D730" s="114"/>
    </row>
    <row r="731" ht="19.5" customHeight="1">
      <c r="D731" s="114"/>
    </row>
    <row r="732" ht="19.5" customHeight="1">
      <c r="D732" s="114"/>
    </row>
    <row r="733" ht="19.5" customHeight="1">
      <c r="D733" s="114"/>
    </row>
    <row r="734" ht="19.5" customHeight="1">
      <c r="D734" s="114"/>
    </row>
    <row r="735" ht="19.5" customHeight="1">
      <c r="D735" s="114"/>
    </row>
    <row r="736" ht="19.5" customHeight="1">
      <c r="D736" s="114"/>
    </row>
    <row r="737" ht="19.5" customHeight="1">
      <c r="D737" s="114"/>
    </row>
    <row r="738" ht="19.5" customHeight="1">
      <c r="D738" s="114"/>
    </row>
    <row r="739" ht="19.5" customHeight="1">
      <c r="D739" s="114"/>
    </row>
    <row r="740" ht="19.5" customHeight="1">
      <c r="D740" s="114"/>
    </row>
    <row r="741" ht="19.5" customHeight="1">
      <c r="D741" s="114"/>
    </row>
    <row r="742" ht="19.5" customHeight="1">
      <c r="D742" s="114"/>
    </row>
    <row r="743" ht="19.5" customHeight="1">
      <c r="D743" s="114"/>
    </row>
    <row r="744" ht="19.5" customHeight="1">
      <c r="D744" s="114"/>
    </row>
    <row r="745" ht="19.5" customHeight="1">
      <c r="D745" s="114"/>
    </row>
    <row r="746" ht="19.5" customHeight="1">
      <c r="D746" s="114"/>
    </row>
    <row r="747" ht="19.5" customHeight="1">
      <c r="D747" s="114"/>
    </row>
    <row r="748" ht="19.5" customHeight="1">
      <c r="D748" s="114"/>
    </row>
    <row r="749" ht="19.5" customHeight="1">
      <c r="D749" s="114"/>
    </row>
    <row r="750" ht="19.5" customHeight="1">
      <c r="D750" s="114"/>
    </row>
    <row r="751" ht="19.5" customHeight="1">
      <c r="D751" s="114"/>
    </row>
    <row r="752" ht="19.5" customHeight="1">
      <c r="D752" s="114"/>
    </row>
    <row r="753" ht="19.5" customHeight="1">
      <c r="D753" s="114"/>
    </row>
    <row r="754" ht="19.5" customHeight="1">
      <c r="D754" s="114"/>
    </row>
    <row r="755" ht="19.5" customHeight="1">
      <c r="D755" s="114"/>
    </row>
    <row r="756" ht="19.5" customHeight="1">
      <c r="D756" s="114"/>
    </row>
    <row r="757" ht="19.5" customHeight="1">
      <c r="D757" s="114"/>
    </row>
    <row r="758" ht="19.5" customHeight="1">
      <c r="D758" s="114"/>
    </row>
    <row r="759" ht="19.5" customHeight="1">
      <c r="D759" s="114"/>
    </row>
    <row r="760" ht="19.5" customHeight="1">
      <c r="D760" s="114"/>
    </row>
    <row r="761" ht="19.5" customHeight="1">
      <c r="D761" s="114"/>
    </row>
    <row r="762" ht="19.5" customHeight="1">
      <c r="D762" s="114"/>
    </row>
    <row r="763" ht="19.5" customHeight="1">
      <c r="D763" s="114"/>
    </row>
    <row r="764" ht="19.5" customHeight="1">
      <c r="D764" s="114"/>
    </row>
    <row r="765" ht="19.5" customHeight="1">
      <c r="D765" s="114"/>
    </row>
    <row r="766" ht="19.5" customHeight="1">
      <c r="D766" s="114"/>
    </row>
    <row r="767" ht="19.5" customHeight="1">
      <c r="D767" s="114"/>
    </row>
    <row r="768" ht="19.5" customHeight="1">
      <c r="D768" s="114"/>
    </row>
    <row r="769" ht="19.5" customHeight="1">
      <c r="D769" s="114"/>
    </row>
    <row r="770" ht="19.5" customHeight="1">
      <c r="D770" s="114"/>
    </row>
    <row r="771" ht="19.5" customHeight="1">
      <c r="D771" s="114"/>
    </row>
    <row r="772" ht="19.5" customHeight="1">
      <c r="D772" s="114"/>
    </row>
    <row r="773" ht="19.5" customHeight="1">
      <c r="D773" s="114"/>
    </row>
    <row r="774" ht="19.5" customHeight="1">
      <c r="D774" s="114"/>
    </row>
    <row r="775" ht="19.5" customHeight="1">
      <c r="D775" s="114"/>
    </row>
    <row r="776" ht="19.5" customHeight="1">
      <c r="D776" s="114"/>
    </row>
    <row r="777" ht="19.5" customHeight="1">
      <c r="D777" s="114"/>
    </row>
    <row r="778" ht="19.5" customHeight="1">
      <c r="D778" s="114"/>
    </row>
    <row r="779" ht="19.5" customHeight="1">
      <c r="D779" s="114"/>
    </row>
    <row r="780" ht="19.5" customHeight="1">
      <c r="D780" s="114"/>
    </row>
    <row r="781" ht="19.5" customHeight="1">
      <c r="D781" s="114"/>
    </row>
    <row r="782" ht="19.5" customHeight="1">
      <c r="D782" s="114"/>
    </row>
    <row r="783" ht="19.5" customHeight="1">
      <c r="D783" s="114"/>
    </row>
    <row r="784" ht="19.5" customHeight="1">
      <c r="D784" s="114"/>
    </row>
    <row r="785" ht="19.5" customHeight="1">
      <c r="D785" s="114"/>
    </row>
    <row r="786" ht="19.5" customHeight="1">
      <c r="D786" s="114"/>
    </row>
    <row r="787" ht="19.5" customHeight="1">
      <c r="D787" s="114"/>
    </row>
    <row r="788" ht="19.5" customHeight="1">
      <c r="D788" s="114"/>
    </row>
    <row r="789" ht="19.5" customHeight="1">
      <c r="D789" s="114"/>
    </row>
    <row r="790" ht="19.5" customHeight="1">
      <c r="D790" s="114"/>
    </row>
    <row r="791" ht="19.5" customHeight="1">
      <c r="D791" s="114"/>
    </row>
    <row r="792" ht="19.5" customHeight="1">
      <c r="D792" s="114"/>
    </row>
    <row r="793" ht="19.5" customHeight="1">
      <c r="D793" s="114"/>
    </row>
    <row r="794" ht="19.5" customHeight="1">
      <c r="D794" s="114"/>
    </row>
    <row r="795" ht="19.5" customHeight="1">
      <c r="D795" s="114"/>
    </row>
    <row r="796" ht="19.5" customHeight="1">
      <c r="D796" s="114"/>
    </row>
    <row r="797" ht="19.5" customHeight="1">
      <c r="D797" s="114"/>
    </row>
    <row r="798" ht="19.5" customHeight="1">
      <c r="D798" s="114"/>
    </row>
    <row r="799" ht="19.5" customHeight="1">
      <c r="D799" s="114"/>
    </row>
    <row r="800" ht="19.5" customHeight="1">
      <c r="D800" s="114"/>
    </row>
    <row r="801" ht="19.5" customHeight="1">
      <c r="D801" s="114"/>
    </row>
    <row r="802" ht="19.5" customHeight="1">
      <c r="D802" s="114"/>
    </row>
    <row r="803" ht="19.5" customHeight="1">
      <c r="D803" s="114"/>
    </row>
    <row r="804" ht="19.5" customHeight="1">
      <c r="D804" s="114"/>
    </row>
    <row r="805" ht="19.5" customHeight="1">
      <c r="D805" s="114"/>
    </row>
    <row r="806" ht="19.5" customHeight="1">
      <c r="D806" s="114"/>
    </row>
    <row r="807" ht="19.5" customHeight="1">
      <c r="D807" s="114"/>
    </row>
    <row r="808" ht="19.5" customHeight="1">
      <c r="D808" s="114"/>
    </row>
    <row r="809" ht="19.5" customHeight="1">
      <c r="D809" s="114"/>
    </row>
    <row r="810" ht="19.5" customHeight="1">
      <c r="D810" s="114"/>
    </row>
    <row r="811" ht="19.5" customHeight="1">
      <c r="D811" s="114"/>
    </row>
    <row r="812" ht="19.5" customHeight="1">
      <c r="D812" s="114"/>
    </row>
    <row r="813" ht="19.5" customHeight="1">
      <c r="D813" s="114"/>
    </row>
    <row r="814" ht="19.5" customHeight="1">
      <c r="D814" s="114"/>
    </row>
    <row r="815" ht="19.5" customHeight="1">
      <c r="D815" s="114"/>
    </row>
    <row r="816" ht="19.5" customHeight="1">
      <c r="D816" s="114"/>
    </row>
    <row r="817" ht="19.5" customHeight="1">
      <c r="D817" s="114"/>
    </row>
    <row r="818" ht="19.5" customHeight="1">
      <c r="D818" s="114"/>
    </row>
    <row r="819" ht="19.5" customHeight="1">
      <c r="D819" s="114"/>
    </row>
    <row r="820" ht="19.5" customHeight="1">
      <c r="D820" s="114"/>
    </row>
    <row r="821" ht="19.5" customHeight="1">
      <c r="D821" s="114"/>
    </row>
    <row r="822" ht="19.5" customHeight="1">
      <c r="D822" s="114"/>
    </row>
    <row r="823" ht="19.5" customHeight="1">
      <c r="D823" s="114"/>
    </row>
    <row r="824" ht="19.5" customHeight="1">
      <c r="D824" s="114"/>
    </row>
    <row r="825" ht="19.5" customHeight="1">
      <c r="D825" s="114"/>
    </row>
    <row r="826" ht="19.5" customHeight="1">
      <c r="D826" s="114"/>
    </row>
    <row r="827" ht="19.5" customHeight="1">
      <c r="D827" s="114"/>
    </row>
    <row r="828" ht="19.5" customHeight="1">
      <c r="D828" s="114"/>
    </row>
    <row r="829" ht="19.5" customHeight="1">
      <c r="D829" s="114"/>
    </row>
    <row r="830" ht="19.5" customHeight="1">
      <c r="D830" s="114"/>
    </row>
    <row r="831" ht="19.5" customHeight="1">
      <c r="D831" s="114"/>
    </row>
    <row r="832" ht="19.5" customHeight="1">
      <c r="D832" s="114"/>
    </row>
    <row r="833" ht="19.5" customHeight="1">
      <c r="D833" s="114"/>
    </row>
    <row r="834" ht="19.5" customHeight="1">
      <c r="D834" s="114"/>
    </row>
    <row r="835" ht="19.5" customHeight="1">
      <c r="D835" s="114"/>
    </row>
    <row r="836" ht="19.5" customHeight="1">
      <c r="D836" s="114"/>
    </row>
    <row r="837" ht="19.5" customHeight="1">
      <c r="D837" s="114"/>
    </row>
    <row r="838" ht="19.5" customHeight="1">
      <c r="D838" s="114"/>
    </row>
    <row r="839" ht="19.5" customHeight="1">
      <c r="D839" s="114"/>
    </row>
    <row r="840" ht="19.5" customHeight="1">
      <c r="D840" s="114"/>
    </row>
    <row r="841" ht="19.5" customHeight="1">
      <c r="D841" s="114"/>
    </row>
    <row r="842" ht="19.5" customHeight="1">
      <c r="D842" s="114"/>
    </row>
    <row r="843" ht="19.5" customHeight="1">
      <c r="D843" s="114"/>
    </row>
    <row r="844" ht="19.5" customHeight="1">
      <c r="D844" s="114"/>
    </row>
    <row r="845" ht="19.5" customHeight="1">
      <c r="D845" s="114"/>
    </row>
    <row r="846" ht="19.5" customHeight="1">
      <c r="D846" s="114"/>
    </row>
    <row r="847" ht="19.5" customHeight="1">
      <c r="D847" s="114"/>
    </row>
    <row r="848" ht="19.5" customHeight="1">
      <c r="D848" s="114"/>
    </row>
    <row r="849" ht="19.5" customHeight="1">
      <c r="D849" s="114"/>
    </row>
    <row r="850" ht="19.5" customHeight="1">
      <c r="D850" s="114"/>
    </row>
    <row r="851" ht="19.5" customHeight="1">
      <c r="D851" s="114"/>
    </row>
    <row r="852" ht="19.5" customHeight="1">
      <c r="D852" s="114"/>
    </row>
    <row r="853" ht="19.5" customHeight="1">
      <c r="D853" s="114"/>
    </row>
    <row r="854" ht="19.5" customHeight="1">
      <c r="D854" s="114"/>
    </row>
    <row r="855" ht="19.5" customHeight="1">
      <c r="D855" s="114"/>
    </row>
    <row r="856" ht="19.5" customHeight="1">
      <c r="D856" s="114"/>
    </row>
    <row r="857" ht="19.5" customHeight="1">
      <c r="D857" s="114"/>
    </row>
    <row r="858" ht="19.5" customHeight="1">
      <c r="D858" s="114"/>
    </row>
    <row r="859" ht="19.5" customHeight="1">
      <c r="D859" s="114"/>
    </row>
    <row r="860" ht="19.5" customHeight="1">
      <c r="D860" s="114"/>
    </row>
    <row r="861" ht="19.5" customHeight="1">
      <c r="D861" s="114"/>
    </row>
    <row r="862" ht="19.5" customHeight="1">
      <c r="D862" s="114"/>
    </row>
    <row r="863" ht="19.5" customHeight="1">
      <c r="D863" s="114"/>
    </row>
    <row r="864" ht="19.5" customHeight="1">
      <c r="D864" s="114"/>
    </row>
    <row r="865" ht="19.5" customHeight="1">
      <c r="D865" s="114"/>
    </row>
    <row r="866" ht="19.5" customHeight="1">
      <c r="D866" s="114"/>
    </row>
    <row r="867" ht="19.5" customHeight="1">
      <c r="D867" s="114"/>
    </row>
    <row r="868" ht="19.5" customHeight="1">
      <c r="D868" s="114"/>
    </row>
    <row r="869" ht="19.5" customHeight="1">
      <c r="D869" s="114"/>
    </row>
    <row r="870" ht="19.5" customHeight="1">
      <c r="D870" s="114"/>
    </row>
    <row r="871" ht="19.5" customHeight="1">
      <c r="D871" s="114"/>
    </row>
    <row r="872" ht="19.5" customHeight="1">
      <c r="D872" s="114"/>
    </row>
    <row r="873" ht="19.5" customHeight="1">
      <c r="D873" s="114"/>
    </row>
    <row r="874" ht="19.5" customHeight="1">
      <c r="D874" s="114"/>
    </row>
    <row r="875" ht="19.5" customHeight="1">
      <c r="D875" s="114"/>
    </row>
    <row r="876" ht="19.5" customHeight="1">
      <c r="D876" s="114"/>
    </row>
    <row r="877" ht="19.5" customHeight="1">
      <c r="D877" s="114"/>
    </row>
    <row r="878" ht="19.5" customHeight="1">
      <c r="D878" s="114"/>
    </row>
    <row r="879" ht="19.5" customHeight="1">
      <c r="D879" s="114"/>
    </row>
    <row r="880" ht="19.5" customHeight="1">
      <c r="D880" s="114"/>
    </row>
    <row r="881" ht="19.5" customHeight="1">
      <c r="D881" s="114"/>
    </row>
    <row r="882" ht="19.5" customHeight="1">
      <c r="D882" s="114"/>
    </row>
    <row r="883" ht="19.5" customHeight="1">
      <c r="D883" s="114"/>
    </row>
    <row r="884" ht="19.5" customHeight="1">
      <c r="D884" s="114"/>
    </row>
    <row r="885" ht="19.5" customHeight="1">
      <c r="D885" s="114"/>
    </row>
    <row r="886" ht="19.5" customHeight="1">
      <c r="D886" s="114"/>
    </row>
    <row r="887" ht="19.5" customHeight="1">
      <c r="D887" s="114"/>
    </row>
    <row r="888" ht="19.5" customHeight="1">
      <c r="D888" s="114"/>
    </row>
    <row r="889" ht="19.5" customHeight="1">
      <c r="D889" s="114"/>
    </row>
    <row r="890" ht="19.5" customHeight="1">
      <c r="D890" s="114"/>
    </row>
    <row r="891" ht="19.5" customHeight="1">
      <c r="D891" s="114"/>
    </row>
    <row r="892" ht="19.5" customHeight="1">
      <c r="D892" s="114"/>
    </row>
    <row r="893" ht="19.5" customHeight="1">
      <c r="D893" s="114"/>
    </row>
    <row r="894" ht="19.5" customHeight="1">
      <c r="D894" s="114"/>
    </row>
    <row r="895" ht="19.5" customHeight="1">
      <c r="D895" s="114"/>
    </row>
    <row r="896" ht="19.5" customHeight="1">
      <c r="D896" s="114"/>
    </row>
    <row r="897" ht="19.5" customHeight="1">
      <c r="D897" s="114"/>
    </row>
    <row r="898" ht="19.5" customHeight="1">
      <c r="D898" s="114"/>
    </row>
    <row r="899" ht="19.5" customHeight="1">
      <c r="D899" s="114"/>
    </row>
    <row r="900" ht="19.5" customHeight="1">
      <c r="D900" s="114"/>
    </row>
    <row r="901" ht="19.5" customHeight="1">
      <c r="D901" s="114"/>
    </row>
    <row r="902" ht="19.5" customHeight="1">
      <c r="D902" s="114"/>
    </row>
    <row r="903" ht="19.5" customHeight="1">
      <c r="D903" s="114"/>
    </row>
    <row r="904" ht="19.5" customHeight="1">
      <c r="D904" s="114"/>
    </row>
    <row r="905" ht="19.5" customHeight="1">
      <c r="D905" s="114"/>
    </row>
    <row r="906" ht="19.5" customHeight="1">
      <c r="D906" s="114"/>
    </row>
    <row r="907" ht="19.5" customHeight="1">
      <c r="D907" s="114"/>
    </row>
    <row r="908" ht="19.5" customHeight="1">
      <c r="D908" s="114"/>
    </row>
    <row r="909" ht="19.5" customHeight="1">
      <c r="D909" s="114"/>
    </row>
    <row r="910" ht="19.5" customHeight="1">
      <c r="D910" s="114"/>
    </row>
    <row r="911" ht="19.5" customHeight="1">
      <c r="D911" s="114"/>
    </row>
    <row r="912" ht="19.5" customHeight="1">
      <c r="D912" s="114"/>
    </row>
    <row r="913" ht="19.5" customHeight="1">
      <c r="D913" s="114"/>
    </row>
    <row r="914" ht="19.5" customHeight="1">
      <c r="D914" s="114"/>
    </row>
    <row r="915" ht="19.5" customHeight="1">
      <c r="D915" s="114"/>
    </row>
    <row r="916" ht="19.5" customHeight="1">
      <c r="D916" s="114"/>
    </row>
    <row r="917" ht="19.5" customHeight="1">
      <c r="D917" s="114"/>
    </row>
    <row r="918" ht="19.5" customHeight="1">
      <c r="D918" s="114"/>
    </row>
    <row r="919" ht="19.5" customHeight="1">
      <c r="D919" s="114"/>
    </row>
    <row r="920" ht="19.5" customHeight="1">
      <c r="D920" s="114"/>
    </row>
    <row r="921" ht="19.5" customHeight="1">
      <c r="D921" s="114"/>
    </row>
    <row r="922" ht="19.5" customHeight="1">
      <c r="D922" s="114"/>
    </row>
    <row r="923" ht="19.5" customHeight="1">
      <c r="D923" s="114"/>
    </row>
    <row r="924" ht="19.5" customHeight="1">
      <c r="D924" s="114"/>
    </row>
    <row r="925" ht="19.5" customHeight="1">
      <c r="D925" s="114"/>
    </row>
    <row r="926" ht="19.5" customHeight="1">
      <c r="D926" s="114"/>
    </row>
    <row r="927" ht="19.5" customHeight="1">
      <c r="D927" s="114"/>
    </row>
    <row r="928" ht="19.5" customHeight="1">
      <c r="D928" s="114"/>
    </row>
    <row r="929" ht="19.5" customHeight="1">
      <c r="D929" s="114"/>
    </row>
    <row r="930" ht="19.5" customHeight="1">
      <c r="D930" s="114"/>
    </row>
    <row r="931" ht="19.5" customHeight="1">
      <c r="D931" s="114"/>
    </row>
    <row r="932" ht="19.5" customHeight="1">
      <c r="D932" s="114"/>
    </row>
    <row r="933" ht="19.5" customHeight="1">
      <c r="D933" s="114"/>
    </row>
    <row r="934" ht="19.5" customHeight="1">
      <c r="D934" s="114"/>
    </row>
    <row r="935" ht="19.5" customHeight="1">
      <c r="D935" s="114"/>
    </row>
    <row r="936" ht="19.5" customHeight="1">
      <c r="D936" s="114"/>
    </row>
    <row r="937" ht="19.5" customHeight="1">
      <c r="D937" s="114"/>
    </row>
    <row r="938" ht="19.5" customHeight="1">
      <c r="D938" s="114"/>
    </row>
    <row r="939" ht="19.5" customHeight="1">
      <c r="D939" s="114"/>
    </row>
    <row r="940" ht="19.5" customHeight="1">
      <c r="D940" s="114"/>
    </row>
    <row r="941" ht="19.5" customHeight="1">
      <c r="D941" s="114"/>
    </row>
    <row r="942" ht="19.5" customHeight="1">
      <c r="D942" s="114"/>
    </row>
    <row r="943" ht="19.5" customHeight="1">
      <c r="D943" s="114"/>
    </row>
    <row r="944" ht="19.5" customHeight="1">
      <c r="D944" s="114"/>
    </row>
    <row r="945" ht="19.5" customHeight="1">
      <c r="D945" s="114"/>
    </row>
    <row r="946" ht="19.5" customHeight="1">
      <c r="D946" s="114"/>
    </row>
    <row r="947" ht="19.5" customHeight="1">
      <c r="D947" s="114"/>
    </row>
    <row r="948" ht="19.5" customHeight="1">
      <c r="D948" s="114"/>
    </row>
    <row r="949" ht="19.5" customHeight="1">
      <c r="D949" s="114"/>
    </row>
    <row r="950" ht="19.5" customHeight="1">
      <c r="D950" s="114"/>
    </row>
    <row r="951" ht="19.5" customHeight="1">
      <c r="D951" s="114"/>
    </row>
    <row r="952" ht="19.5" customHeight="1">
      <c r="D952" s="114"/>
    </row>
    <row r="953" ht="19.5" customHeight="1">
      <c r="D953" s="114"/>
    </row>
    <row r="954" ht="19.5" customHeight="1">
      <c r="D954" s="114"/>
    </row>
    <row r="955" ht="19.5" customHeight="1">
      <c r="D955" s="114"/>
    </row>
    <row r="956" ht="19.5" customHeight="1">
      <c r="D956" s="114"/>
    </row>
    <row r="957" ht="19.5" customHeight="1">
      <c r="D957" s="114"/>
    </row>
    <row r="958" ht="19.5" customHeight="1">
      <c r="D958" s="114"/>
    </row>
    <row r="959" ht="19.5" customHeight="1">
      <c r="D959" s="114"/>
    </row>
    <row r="960" ht="19.5" customHeight="1">
      <c r="D960" s="114"/>
    </row>
    <row r="961" ht="19.5" customHeight="1">
      <c r="D961" s="114"/>
    </row>
    <row r="962" ht="19.5" customHeight="1">
      <c r="D962" s="114"/>
    </row>
    <row r="963" ht="19.5" customHeight="1">
      <c r="D963" s="114"/>
    </row>
    <row r="964" ht="19.5" customHeight="1">
      <c r="D964" s="114"/>
    </row>
    <row r="965" ht="19.5" customHeight="1">
      <c r="D965" s="114"/>
    </row>
    <row r="966" ht="19.5" customHeight="1">
      <c r="D966" s="114"/>
    </row>
    <row r="967" ht="19.5" customHeight="1">
      <c r="D967" s="114"/>
    </row>
    <row r="968" ht="19.5" customHeight="1">
      <c r="D968" s="114"/>
    </row>
    <row r="969" ht="19.5" customHeight="1">
      <c r="D969" s="114"/>
    </row>
    <row r="970" ht="19.5" customHeight="1">
      <c r="D970" s="114"/>
    </row>
    <row r="971" ht="19.5" customHeight="1">
      <c r="D971" s="114"/>
    </row>
    <row r="972" ht="19.5" customHeight="1">
      <c r="D972" s="114"/>
    </row>
    <row r="973" ht="19.5" customHeight="1">
      <c r="D973" s="114"/>
    </row>
    <row r="974" ht="19.5" customHeight="1">
      <c r="D974" s="114"/>
    </row>
    <row r="975" ht="19.5" customHeight="1">
      <c r="D975" s="114"/>
    </row>
    <row r="976" ht="19.5" customHeight="1">
      <c r="D976" s="114"/>
    </row>
    <row r="977" ht="19.5" customHeight="1">
      <c r="D977" s="114"/>
    </row>
    <row r="978" ht="19.5" customHeight="1">
      <c r="D978" s="114"/>
    </row>
    <row r="979" ht="19.5" customHeight="1">
      <c r="D979" s="114"/>
    </row>
    <row r="980" ht="19.5" customHeight="1">
      <c r="D980" s="114"/>
    </row>
    <row r="981" ht="19.5" customHeight="1">
      <c r="D981" s="114"/>
    </row>
    <row r="982" ht="19.5" customHeight="1">
      <c r="D982" s="114"/>
    </row>
    <row r="983" ht="19.5" customHeight="1">
      <c r="D983" s="114"/>
    </row>
    <row r="984" ht="19.5" customHeight="1">
      <c r="D984" s="114"/>
    </row>
    <row r="985" ht="19.5" customHeight="1">
      <c r="D985" s="114"/>
    </row>
    <row r="986" ht="19.5" customHeight="1">
      <c r="D986" s="114"/>
    </row>
    <row r="987" ht="19.5" customHeight="1">
      <c r="D987" s="114"/>
    </row>
    <row r="988" ht="19.5" customHeight="1">
      <c r="D988" s="114"/>
    </row>
    <row r="989" ht="19.5" customHeight="1">
      <c r="D989" s="114"/>
    </row>
    <row r="990" ht="19.5" customHeight="1">
      <c r="D990" s="114"/>
    </row>
    <row r="991" ht="19.5" customHeight="1">
      <c r="D991" s="114"/>
    </row>
    <row r="992" ht="19.5" customHeight="1">
      <c r="D992" s="114"/>
    </row>
    <row r="993" ht="19.5" customHeight="1">
      <c r="D993" s="114"/>
    </row>
    <row r="994" ht="19.5" customHeight="1">
      <c r="D994" s="114"/>
    </row>
    <row r="995" ht="19.5" customHeight="1">
      <c r="D995" s="114"/>
    </row>
    <row r="996" ht="19.5" customHeight="1">
      <c r="D996" s="114"/>
    </row>
    <row r="997" ht="19.5" customHeight="1">
      <c r="D997" s="114"/>
    </row>
    <row r="998" ht="19.5" customHeight="1">
      <c r="D998" s="114"/>
    </row>
    <row r="999" ht="19.5" customHeight="1">
      <c r="D999" s="114"/>
    </row>
    <row r="1000" ht="19.5" customHeight="1">
      <c r="D1000" s="11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7.22"/>
    <col customWidth="1" min="3" max="3" width="5.89"/>
    <col customWidth="1" min="4" max="4" width="8.11"/>
    <col customWidth="1" min="5" max="5" width="8.33"/>
    <col customWidth="1" min="6" max="6" width="7.33"/>
    <col customWidth="1" min="7" max="8" width="4.44"/>
    <col customWidth="1" min="9" max="10" width="8.11"/>
    <col customWidth="1" min="11" max="11" width="4.33"/>
    <col customWidth="1" min="12" max="12" width="3.78"/>
    <col customWidth="1" min="13" max="13" width="20.89"/>
  </cols>
  <sheetData>
    <row r="1">
      <c r="A1" s="1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5"/>
      <c r="M1" s="6" t="s">
        <v>0</v>
      </c>
      <c r="N1" s="7">
        <v>825.0</v>
      </c>
    </row>
    <row r="2">
      <c r="A2" s="5"/>
      <c r="B2" s="9" t="s">
        <v>2</v>
      </c>
      <c r="C2" s="10">
        <v>1.0</v>
      </c>
      <c r="D2" s="10">
        <v>2.0</v>
      </c>
      <c r="E2" s="10">
        <v>3.0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8</v>
      </c>
      <c r="L2" s="5"/>
      <c r="M2" s="12" t="s">
        <v>9</v>
      </c>
      <c r="N2" s="13">
        <f>'集計'!B2</f>
        <v>101</v>
      </c>
    </row>
    <row r="3">
      <c r="A3" s="5" t="s">
        <v>10</v>
      </c>
      <c r="B3" s="18">
        <v>1.0</v>
      </c>
      <c r="C3" s="19"/>
      <c r="D3" s="20">
        <f>K3-sum(G3:J3)</f>
        <v>1</v>
      </c>
      <c r="E3" s="21"/>
      <c r="F3" s="22"/>
      <c r="G3" s="23">
        <f>(N17-(N15-(N16-N13)))</f>
        <v>28</v>
      </c>
      <c r="H3" s="24">
        <f>0/4*H11</f>
        <v>0</v>
      </c>
      <c r="I3" s="24">
        <f>0/14*I11</f>
        <v>0</v>
      </c>
      <c r="J3" s="25">
        <f>0/83*J11</f>
        <v>0</v>
      </c>
      <c r="K3" s="23">
        <f>(N14-N12)+(N17-(N15-(N16-N13)))</f>
        <v>29</v>
      </c>
      <c r="L3" s="5"/>
      <c r="M3" s="12" t="s">
        <v>11</v>
      </c>
      <c r="N3" s="13">
        <f>'集計'!B3</f>
        <v>96</v>
      </c>
    </row>
    <row r="4">
      <c r="A4" s="5"/>
      <c r="B4" s="18">
        <v>2.0</v>
      </c>
      <c r="C4" s="29">
        <f>C11-sum(C7:C10)</f>
        <v>0.7145561356</v>
      </c>
      <c r="D4" s="31"/>
      <c r="E4" s="33"/>
      <c r="F4" s="33"/>
      <c r="G4" s="36">
        <f>G11-G3-sum(G8:G10)</f>
        <v>24.17475728</v>
      </c>
      <c r="H4" s="24">
        <f>0/4*H11</f>
        <v>0</v>
      </c>
      <c r="I4" s="24">
        <f>1/14*I11</f>
        <v>0.4285714286</v>
      </c>
      <c r="J4" s="25">
        <f>1/83*J11</f>
        <v>0.2771084337</v>
      </c>
      <c r="K4" s="38">
        <f>sum(C4:J6)</f>
        <v>28.02356471</v>
      </c>
      <c r="L4" s="5"/>
      <c r="M4" s="12" t="s">
        <v>16</v>
      </c>
      <c r="N4" s="13">
        <f>'集計'!B4</f>
        <v>5</v>
      </c>
    </row>
    <row r="5">
      <c r="A5" s="5"/>
      <c r="B5" s="18">
        <v>3.0</v>
      </c>
      <c r="C5" s="40"/>
      <c r="D5" s="41"/>
      <c r="E5" s="42">
        <v>0.0</v>
      </c>
      <c r="F5" s="42"/>
      <c r="G5" s="40"/>
      <c r="H5" s="24">
        <f>2/4*H11</f>
        <v>2</v>
      </c>
      <c r="I5" s="24">
        <f>1/14*I11</f>
        <v>0.4285714286</v>
      </c>
      <c r="J5" s="25">
        <f>0/83*J11</f>
        <v>0</v>
      </c>
      <c r="K5" s="40"/>
      <c r="L5" s="5"/>
      <c r="M5" s="12" t="s">
        <v>17</v>
      </c>
      <c r="N5" s="13">
        <f>'集計'!B5</f>
        <v>63</v>
      </c>
    </row>
    <row r="6">
      <c r="A6" s="5"/>
      <c r="B6" s="18" t="s">
        <v>3</v>
      </c>
      <c r="C6" s="22"/>
      <c r="D6" s="41"/>
      <c r="E6" s="42"/>
      <c r="F6" s="42"/>
      <c r="G6" s="22"/>
      <c r="H6" s="24">
        <f>0/4*H11</f>
        <v>0</v>
      </c>
      <c r="I6" s="24">
        <f>0/14*I11</f>
        <v>0</v>
      </c>
      <c r="J6" s="25">
        <f>0/83*J11</f>
        <v>0</v>
      </c>
      <c r="K6" s="22"/>
      <c r="L6" s="5"/>
      <c r="M6" s="12" t="s">
        <v>18</v>
      </c>
      <c r="N6" s="13">
        <f>'集計'!B6</f>
        <v>65</v>
      </c>
    </row>
    <row r="7">
      <c r="A7" s="5"/>
      <c r="B7" s="18" t="s">
        <v>4</v>
      </c>
      <c r="C7" s="11">
        <f>N13</f>
        <v>121</v>
      </c>
      <c r="D7" s="20">
        <f>K7-C7-sum(H7:J7)</f>
        <v>174.2788296</v>
      </c>
      <c r="E7" s="21"/>
      <c r="F7" s="22"/>
      <c r="G7" s="19"/>
      <c r="H7" s="24">
        <f>0/4*H11</f>
        <v>0</v>
      </c>
      <c r="I7" s="24">
        <f>5/14*I11</f>
        <v>2.142857143</v>
      </c>
      <c r="J7" s="25">
        <f>49/83*J11</f>
        <v>13.57831325</v>
      </c>
      <c r="K7" s="11">
        <f>N12+N13</f>
        <v>311</v>
      </c>
      <c r="L7" s="5"/>
      <c r="M7" s="12" t="s">
        <v>19</v>
      </c>
      <c r="N7" s="13">
        <f>'集計'!B7</f>
        <v>31</v>
      </c>
    </row>
    <row r="8">
      <c r="A8" s="5"/>
      <c r="B8" s="18" t="s">
        <v>5</v>
      </c>
      <c r="C8" s="24">
        <f>1/71*K8</f>
        <v>0.5633802817</v>
      </c>
      <c r="D8" s="24">
        <f>10/71*K8</f>
        <v>5.633802817</v>
      </c>
      <c r="E8" s="24">
        <f>40/71*K8</f>
        <v>22.53521127</v>
      </c>
      <c r="F8" s="24">
        <f>0/71*K8</f>
        <v>0</v>
      </c>
      <c r="G8" s="24">
        <f>0/71*K8</f>
        <v>0</v>
      </c>
      <c r="H8" s="19"/>
      <c r="I8" s="24">
        <f>7/71*K8</f>
        <v>3.943661972</v>
      </c>
      <c r="J8" s="25">
        <f>13/71*K8</f>
        <v>7.323943662</v>
      </c>
      <c r="K8" s="49">
        <f>N8</f>
        <v>40</v>
      </c>
      <c r="L8" s="5"/>
      <c r="M8" s="50" t="s">
        <v>20</v>
      </c>
      <c r="N8" s="13">
        <f>'集計'!B8</f>
        <v>40</v>
      </c>
    </row>
    <row r="9">
      <c r="A9" s="5"/>
      <c r="B9" s="18" t="s">
        <v>6</v>
      </c>
      <c r="C9" s="24">
        <f>2/51*K9</f>
        <v>1.37254902</v>
      </c>
      <c r="D9" s="24">
        <f>13/51*K9</f>
        <v>8.921568627</v>
      </c>
      <c r="E9" s="24">
        <f>15/51*K9</f>
        <v>10.29411765</v>
      </c>
      <c r="F9" s="24">
        <f>0/51*K9</f>
        <v>0</v>
      </c>
      <c r="G9" s="24">
        <f>0/51*K9</f>
        <v>0</v>
      </c>
      <c r="H9" s="24">
        <f>1/51*K9</f>
        <v>0.6862745098</v>
      </c>
      <c r="I9" s="52"/>
      <c r="J9" s="25">
        <f>20/51*K9</f>
        <v>13.7254902</v>
      </c>
      <c r="K9" s="49">
        <f>N10</f>
        <v>35</v>
      </c>
      <c r="L9" s="5"/>
      <c r="M9" s="50" t="s">
        <v>22</v>
      </c>
      <c r="N9" s="13">
        <f>'集計'!B9</f>
        <v>4</v>
      </c>
    </row>
    <row r="10">
      <c r="A10" s="5"/>
      <c r="B10" s="18" t="s">
        <v>7</v>
      </c>
      <c r="C10" s="57">
        <f>39/103*K10</f>
        <v>36.34951456</v>
      </c>
      <c r="D10" s="57">
        <f>26/103*K10</f>
        <v>24.23300971</v>
      </c>
      <c r="E10" s="57">
        <f>1/103*K10</f>
        <v>0.932038835</v>
      </c>
      <c r="F10" s="57">
        <f>4/103*K10</f>
        <v>3.72815534</v>
      </c>
      <c r="G10" s="57">
        <f>32/103*K10</f>
        <v>29.82524272</v>
      </c>
      <c r="H10" s="57">
        <f>1/103*K10</f>
        <v>0.932038835</v>
      </c>
      <c r="I10" s="57">
        <f>0/103*K10</f>
        <v>0</v>
      </c>
      <c r="J10" s="62"/>
      <c r="K10" s="49">
        <f>N18</f>
        <v>96</v>
      </c>
      <c r="L10" s="5"/>
      <c r="M10" s="50" t="s">
        <v>24</v>
      </c>
      <c r="N10" s="13">
        <f>'集計'!B10</f>
        <v>35</v>
      </c>
    </row>
    <row r="11">
      <c r="A11" s="5"/>
      <c r="B11" s="11" t="s">
        <v>8</v>
      </c>
      <c r="C11" s="11">
        <f>N16</f>
        <v>160</v>
      </c>
      <c r="D11" s="65">
        <f>sum(D2:F10)</f>
        <v>256.5567338</v>
      </c>
      <c r="E11" s="21"/>
      <c r="F11" s="22"/>
      <c r="G11" s="11">
        <f>N17</f>
        <v>82</v>
      </c>
      <c r="H11" s="49">
        <f>N9</f>
        <v>4</v>
      </c>
      <c r="I11" s="49">
        <f>N11</f>
        <v>6</v>
      </c>
      <c r="J11" s="49">
        <f>N19</f>
        <v>23</v>
      </c>
      <c r="K11" s="67">
        <f>D14</f>
        <v>539.0235647</v>
      </c>
      <c r="L11" s="5"/>
      <c r="M11" s="50" t="s">
        <v>25</v>
      </c>
      <c r="N11" s="13">
        <f>'集計'!B11</f>
        <v>6</v>
      </c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2" t="s">
        <v>26</v>
      </c>
      <c r="N12" s="13">
        <f>'集計'!B12</f>
        <v>190</v>
      </c>
    </row>
    <row r="13">
      <c r="A13" s="1"/>
      <c r="B13" s="2"/>
      <c r="C13" s="2"/>
      <c r="D13" s="2"/>
      <c r="E13" s="1"/>
      <c r="F13" s="2"/>
      <c r="G13" s="2"/>
      <c r="H13" s="2"/>
      <c r="I13" s="69" t="s">
        <v>37</v>
      </c>
      <c r="J13" s="69"/>
      <c r="K13" s="1"/>
      <c r="L13" s="5"/>
      <c r="M13" s="12" t="s">
        <v>27</v>
      </c>
      <c r="N13" s="13">
        <f>'集計'!B13</f>
        <v>121</v>
      </c>
    </row>
    <row r="14">
      <c r="A14" s="5"/>
      <c r="B14" s="70" t="s">
        <v>38</v>
      </c>
      <c r="C14" s="5"/>
      <c r="D14" s="71">
        <f>sum(K3:K10)</f>
        <v>539.0235647</v>
      </c>
      <c r="E14" s="5"/>
      <c r="F14" s="74" t="s">
        <v>39</v>
      </c>
      <c r="H14" s="40"/>
      <c r="I14" s="75">
        <f>sum(C3:F6)/D14</f>
        <v>0.003180855621</v>
      </c>
      <c r="J14" s="76">
        <f t="shared" ref="J14:J19" si="1">$D$14*I14</f>
        <v>1.714556136</v>
      </c>
      <c r="K14" s="1"/>
      <c r="L14" s="5"/>
      <c r="M14" s="12" t="s">
        <v>28</v>
      </c>
      <c r="N14" s="13">
        <f>'集計'!B14</f>
        <v>191</v>
      </c>
    </row>
    <row r="15">
      <c r="A15" s="5"/>
      <c r="B15" s="2"/>
      <c r="C15" s="78"/>
      <c r="D15" s="78"/>
      <c r="E15" s="80"/>
      <c r="F15" s="82" t="s">
        <v>45</v>
      </c>
      <c r="G15" s="21"/>
      <c r="H15" s="22"/>
      <c r="I15" s="84">
        <f>sum(G7:J10)/D14</f>
        <v>0.1338676581</v>
      </c>
      <c r="J15" s="76">
        <f t="shared" si="1"/>
        <v>72.15782229</v>
      </c>
      <c r="K15" s="1"/>
      <c r="L15" s="5"/>
      <c r="M15" s="12" t="s">
        <v>29</v>
      </c>
      <c r="N15" s="13">
        <f>'集計'!B15</f>
        <v>93</v>
      </c>
    </row>
    <row r="16">
      <c r="A16" s="5"/>
      <c r="B16" s="86" t="s">
        <v>41</v>
      </c>
      <c r="C16" s="5"/>
      <c r="D16" s="77">
        <f>(N12+N13+N15-N16)/(N12+N13+N15)</f>
        <v>0.603960396</v>
      </c>
      <c r="E16" s="88"/>
      <c r="F16" s="82" t="s">
        <v>46</v>
      </c>
      <c r="G16" s="21"/>
      <c r="H16" s="22"/>
      <c r="I16" s="84">
        <f>I14+I15</f>
        <v>0.1370485138</v>
      </c>
      <c r="J16" s="76">
        <f t="shared" si="1"/>
        <v>73.87237842</v>
      </c>
      <c r="K16" s="1"/>
      <c r="L16" s="5"/>
      <c r="M16" s="12" t="s">
        <v>30</v>
      </c>
      <c r="N16" s="13">
        <f>'集計'!B16+35</f>
        <v>160</v>
      </c>
      <c r="O16" s="89" t="s">
        <v>48</v>
      </c>
    </row>
    <row r="17">
      <c r="A17" s="5"/>
      <c r="B17" s="86" t="s">
        <v>42</v>
      </c>
      <c r="C17" s="5"/>
      <c r="D17" s="77"/>
      <c r="E17" s="5"/>
      <c r="F17" s="74" t="s">
        <v>47</v>
      </c>
      <c r="H17" s="40"/>
      <c r="I17" s="75">
        <f>sum(C7:F10)/D14</f>
        <v>0.7603418562</v>
      </c>
      <c r="J17" s="76">
        <f t="shared" si="1"/>
        <v>409.8421777</v>
      </c>
      <c r="K17" s="1"/>
      <c r="L17" s="5"/>
      <c r="M17" s="12" t="s">
        <v>31</v>
      </c>
      <c r="N17" s="13">
        <f>'集計'!B17</f>
        <v>82</v>
      </c>
    </row>
    <row r="18">
      <c r="A18" s="5"/>
      <c r="B18" s="90" t="s">
        <v>43</v>
      </c>
      <c r="C18" s="78"/>
      <c r="D18" s="92"/>
      <c r="E18" s="5"/>
      <c r="F18" s="82" t="s">
        <v>49</v>
      </c>
      <c r="G18" s="21"/>
      <c r="H18" s="22"/>
      <c r="I18" s="84">
        <f>sum(G3:J6)/D14</f>
        <v>0.1026096301</v>
      </c>
      <c r="J18" s="76">
        <f t="shared" si="1"/>
        <v>55.30900857</v>
      </c>
      <c r="K18" s="1"/>
      <c r="L18" s="5"/>
      <c r="M18" s="93" t="s">
        <v>32</v>
      </c>
      <c r="N18" s="13">
        <f>'集計'!B18</f>
        <v>96</v>
      </c>
    </row>
    <row r="19">
      <c r="A19" s="5"/>
      <c r="B19" s="90" t="s">
        <v>44</v>
      </c>
      <c r="C19" s="78"/>
      <c r="D19" s="94"/>
      <c r="E19" s="5"/>
      <c r="F19" s="90" t="s">
        <v>50</v>
      </c>
      <c r="G19" s="95"/>
      <c r="H19" s="78"/>
      <c r="I19" s="84">
        <f>I17+I18</f>
        <v>0.8629514862</v>
      </c>
      <c r="J19" s="76">
        <f t="shared" si="1"/>
        <v>465.1511863</v>
      </c>
      <c r="K19" s="1"/>
      <c r="L19" s="5"/>
      <c r="M19" s="93" t="s">
        <v>33</v>
      </c>
      <c r="N19" s="13">
        <f>'集計'!B19</f>
        <v>23</v>
      </c>
    </row>
    <row r="20">
      <c r="A20" s="1"/>
      <c r="B20" s="1"/>
      <c r="C20" s="1"/>
      <c r="D20" s="1"/>
      <c r="E20" s="5"/>
      <c r="F20" s="90" t="s">
        <v>51</v>
      </c>
      <c r="G20" s="95"/>
      <c r="H20" s="78"/>
      <c r="I20" s="76">
        <f>D14*(I17-I18)</f>
        <v>354.5331691</v>
      </c>
      <c r="J20" s="78"/>
      <c r="K20" s="1"/>
      <c r="L20" s="5"/>
      <c r="M20" s="12" t="s">
        <v>34</v>
      </c>
      <c r="N20" s="13">
        <f>'集計'!B20</f>
        <v>85</v>
      </c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2" t="s">
        <v>35</v>
      </c>
      <c r="N21" s="13">
        <f>'集計'!B21</f>
        <v>10</v>
      </c>
    </row>
    <row r="22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5"/>
      <c r="M22" s="98" t="s">
        <v>52</v>
      </c>
      <c r="N22" s="99" t="str">
        <f>'集計'!B22</f>
        <v/>
      </c>
    </row>
    <row r="23">
      <c r="A23" s="5"/>
      <c r="B23" s="78">
        <v>825.0</v>
      </c>
      <c r="C23" s="10">
        <v>2.0</v>
      </c>
      <c r="D23" s="10">
        <v>3.0</v>
      </c>
      <c r="E23" s="100" t="s">
        <v>3</v>
      </c>
      <c r="F23" s="100">
        <v>1.0</v>
      </c>
      <c r="G23" s="100" t="s">
        <v>4</v>
      </c>
      <c r="H23" s="100" t="s">
        <v>54</v>
      </c>
      <c r="I23" s="102" t="s">
        <v>8</v>
      </c>
      <c r="J23" s="1"/>
      <c r="K23" s="1"/>
      <c r="L23" s="1"/>
      <c r="M23" s="2"/>
      <c r="N23" s="104"/>
    </row>
    <row r="24">
      <c r="A24" s="5"/>
      <c r="B24" s="18">
        <v>2.0</v>
      </c>
      <c r="C24" s="105">
        <v>0.0</v>
      </c>
      <c r="E24" s="106"/>
      <c r="F24" s="107">
        <f t="shared" ref="F24:G24" si="2">F30-sum(F27:F29)</f>
        <v>0.7145561356</v>
      </c>
      <c r="G24" s="107">
        <f t="shared" si="2"/>
        <v>24.17475728</v>
      </c>
      <c r="H24" s="108">
        <f t="shared" ref="H24:H26" si="3">sum(H4:J4)</f>
        <v>0.7056798623</v>
      </c>
      <c r="I24" s="109">
        <f>sum(C24:H26)</f>
        <v>28.02356471</v>
      </c>
      <c r="J24" s="1"/>
      <c r="K24" s="1"/>
      <c r="L24" s="5"/>
      <c r="M24" s="12" t="s">
        <v>55</v>
      </c>
      <c r="N24" s="13">
        <f>'集計'!B40</f>
        <v>197</v>
      </c>
    </row>
    <row r="25">
      <c r="A25" s="5"/>
      <c r="B25" s="18">
        <v>3.0</v>
      </c>
      <c r="E25" s="106"/>
      <c r="F25" s="40"/>
      <c r="G25" s="40"/>
      <c r="H25" s="108">
        <f t="shared" si="3"/>
        <v>2.428571429</v>
      </c>
      <c r="I25" s="40"/>
      <c r="J25" s="1"/>
      <c r="K25" s="1"/>
      <c r="L25" s="5"/>
      <c r="M25" s="12" t="s">
        <v>56</v>
      </c>
      <c r="N25" s="13">
        <f>'集計'!B41</f>
        <v>68</v>
      </c>
    </row>
    <row r="26">
      <c r="A26" s="5"/>
      <c r="B26" s="18" t="s">
        <v>3</v>
      </c>
      <c r="C26" s="110"/>
      <c r="D26" s="110"/>
      <c r="E26" s="111"/>
      <c r="F26" s="112"/>
      <c r="G26" s="112"/>
      <c r="H26" s="108">
        <f t="shared" si="3"/>
        <v>0</v>
      </c>
      <c r="I26" s="22"/>
      <c r="J26" s="1"/>
      <c r="K26" s="1"/>
      <c r="L26" s="5"/>
      <c r="M26" s="12" t="s">
        <v>57</v>
      </c>
      <c r="N26" s="13">
        <f>'集計'!B42</f>
        <v>96</v>
      </c>
    </row>
    <row r="27">
      <c r="A27" s="5"/>
      <c r="B27" s="113">
        <v>1.0</v>
      </c>
      <c r="C27" s="115">
        <f t="shared" ref="C27:C28" si="4">I27-sum(F27:H27)</f>
        <v>1</v>
      </c>
      <c r="D27" s="21"/>
      <c r="E27" s="117"/>
      <c r="F27" s="19"/>
      <c r="G27" s="102">
        <f>(N17-(N15-(N16-N13)))</f>
        <v>28</v>
      </c>
      <c r="H27" s="108">
        <f>sum(H3:J3)</f>
        <v>0</v>
      </c>
      <c r="I27" s="102">
        <f>(N14-N12)+(N17-(N15-(N16-N13)))</f>
        <v>29</v>
      </c>
      <c r="J27" s="1"/>
      <c r="K27" s="1"/>
      <c r="L27" s="5"/>
      <c r="M27" s="12" t="s">
        <v>58</v>
      </c>
      <c r="N27" s="13">
        <f>'集計'!B43</f>
        <v>44</v>
      </c>
    </row>
    <row r="28">
      <c r="A28" s="5"/>
      <c r="B28" s="113" t="s">
        <v>4</v>
      </c>
      <c r="C28" s="115">
        <f t="shared" si="4"/>
        <v>174.2788296</v>
      </c>
      <c r="D28" s="21"/>
      <c r="E28" s="117"/>
      <c r="F28" s="102">
        <f>N13</f>
        <v>121</v>
      </c>
      <c r="G28" s="19"/>
      <c r="H28" s="108">
        <f>sum(H7:J7)</f>
        <v>15.7211704</v>
      </c>
      <c r="I28" s="102">
        <f>N12+N13</f>
        <v>311</v>
      </c>
      <c r="J28" s="1"/>
      <c r="K28" s="1"/>
      <c r="L28" s="5"/>
      <c r="M28" s="12" t="s">
        <v>59</v>
      </c>
      <c r="N28" s="13">
        <f>'集計'!B44</f>
        <v>41</v>
      </c>
    </row>
    <row r="29">
      <c r="A29" s="5"/>
      <c r="B29" s="113" t="s">
        <v>54</v>
      </c>
      <c r="C29" s="121">
        <f t="shared" ref="C29:E29" si="5">sum(D8:D10)</f>
        <v>38.78838115</v>
      </c>
      <c r="D29" s="121">
        <f t="shared" si="5"/>
        <v>33.76136775</v>
      </c>
      <c r="E29" s="121">
        <f t="shared" si="5"/>
        <v>3.72815534</v>
      </c>
      <c r="F29" s="121">
        <f>sum(C8:C10)</f>
        <v>38.28544386</v>
      </c>
      <c r="G29" s="121">
        <f>sum(G8:G10)</f>
        <v>29.82524272</v>
      </c>
      <c r="H29" s="122">
        <f>sum(H8:J10)</f>
        <v>26.61140917</v>
      </c>
      <c r="I29" s="123">
        <f>sum(C29:H29)</f>
        <v>171</v>
      </c>
      <c r="J29" s="1"/>
      <c r="K29" s="1"/>
      <c r="L29" s="5"/>
      <c r="M29" s="12" t="s">
        <v>60</v>
      </c>
      <c r="N29" s="13">
        <f>'集計'!B45</f>
        <v>119</v>
      </c>
    </row>
    <row r="30">
      <c r="A30" s="5"/>
      <c r="B30" s="102" t="s">
        <v>8</v>
      </c>
      <c r="C30" s="124">
        <f>sum(C24:E29)</f>
        <v>251.5567338</v>
      </c>
      <c r="D30" s="21"/>
      <c r="E30" s="22"/>
      <c r="F30" s="78">
        <f>N16</f>
        <v>160</v>
      </c>
      <c r="G30" s="78">
        <f>N17</f>
        <v>82</v>
      </c>
      <c r="H30" s="67">
        <f>sum(H24:H29)</f>
        <v>45.46683086</v>
      </c>
      <c r="I30" s="78"/>
      <c r="J30" s="1"/>
      <c r="K30" s="1"/>
      <c r="L30" s="5"/>
      <c r="M30" s="12" t="s">
        <v>61</v>
      </c>
      <c r="N30" s="13">
        <f>'集計'!B46</f>
        <v>284</v>
      </c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12" t="s">
        <v>62</v>
      </c>
      <c r="N31" s="13">
        <f>'集計'!B47</f>
        <v>393</v>
      </c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98" t="s">
        <v>63</v>
      </c>
      <c r="N32" s="99">
        <f>'集計'!B48</f>
        <v>95</v>
      </c>
    </row>
    <row r="33">
      <c r="N33" s="125"/>
    </row>
    <row r="34">
      <c r="N34" s="125"/>
    </row>
    <row r="35">
      <c r="N35" s="125"/>
    </row>
    <row r="36">
      <c r="N36" s="125"/>
    </row>
    <row r="37">
      <c r="N37" s="125"/>
    </row>
    <row r="38">
      <c r="N38" s="125"/>
    </row>
    <row r="39">
      <c r="N39" s="125"/>
    </row>
    <row r="40">
      <c r="N40" s="125"/>
    </row>
    <row r="41">
      <c r="N41" s="125"/>
    </row>
    <row r="42">
      <c r="N42" s="125"/>
    </row>
    <row r="43">
      <c r="N43" s="125"/>
    </row>
    <row r="44">
      <c r="N44" s="125"/>
    </row>
    <row r="45">
      <c r="N45" s="125"/>
    </row>
    <row r="46">
      <c r="N46" s="125"/>
    </row>
    <row r="47">
      <c r="N47" s="125"/>
    </row>
    <row r="48">
      <c r="N48" s="125"/>
    </row>
    <row r="49">
      <c r="N49" s="125"/>
    </row>
    <row r="50">
      <c r="N50" s="125"/>
    </row>
    <row r="51">
      <c r="N51" s="125"/>
    </row>
    <row r="52">
      <c r="N52" s="125"/>
    </row>
    <row r="53">
      <c r="N53" s="125"/>
    </row>
    <row r="54">
      <c r="N54" s="125"/>
    </row>
    <row r="55">
      <c r="N55" s="125"/>
    </row>
    <row r="56">
      <c r="N56" s="125"/>
    </row>
    <row r="57">
      <c r="N57" s="125"/>
    </row>
    <row r="58">
      <c r="N58" s="125"/>
    </row>
    <row r="59">
      <c r="N59" s="125"/>
    </row>
    <row r="60">
      <c r="N60" s="125"/>
    </row>
    <row r="61">
      <c r="N61" s="125"/>
    </row>
    <row r="62">
      <c r="N62" s="125"/>
    </row>
    <row r="63">
      <c r="N63" s="125"/>
    </row>
    <row r="64">
      <c r="N64" s="125"/>
    </row>
    <row r="65">
      <c r="N65" s="125"/>
    </row>
    <row r="66">
      <c r="N66" s="125"/>
    </row>
    <row r="67">
      <c r="N67" s="125"/>
    </row>
    <row r="68">
      <c r="N68" s="125"/>
    </row>
    <row r="69">
      <c r="N69" s="125"/>
    </row>
    <row r="70">
      <c r="N70" s="125"/>
    </row>
    <row r="71">
      <c r="N71" s="125"/>
    </row>
    <row r="72">
      <c r="N72" s="125"/>
    </row>
    <row r="73">
      <c r="N73" s="125"/>
    </row>
    <row r="74">
      <c r="N74" s="125"/>
    </row>
    <row r="75">
      <c r="N75" s="125"/>
    </row>
    <row r="76">
      <c r="N76" s="125"/>
    </row>
    <row r="77">
      <c r="N77" s="125"/>
    </row>
    <row r="78">
      <c r="N78" s="125"/>
    </row>
    <row r="79">
      <c r="N79" s="125"/>
    </row>
    <row r="80">
      <c r="N80" s="125"/>
    </row>
    <row r="81">
      <c r="N81" s="125"/>
    </row>
    <row r="82">
      <c r="N82" s="125"/>
    </row>
    <row r="83">
      <c r="N83" s="125"/>
    </row>
    <row r="84">
      <c r="N84" s="125"/>
    </row>
    <row r="85">
      <c r="N85" s="125"/>
    </row>
    <row r="86">
      <c r="N86" s="125"/>
    </row>
    <row r="87">
      <c r="N87" s="125"/>
    </row>
    <row r="88">
      <c r="N88" s="125"/>
    </row>
    <row r="89">
      <c r="N89" s="125"/>
    </row>
    <row r="90">
      <c r="N90" s="125"/>
    </row>
    <row r="91">
      <c r="N91" s="125"/>
    </row>
    <row r="92">
      <c r="N92" s="125"/>
    </row>
    <row r="93">
      <c r="N93" s="125"/>
    </row>
    <row r="94">
      <c r="N94" s="125"/>
    </row>
    <row r="95">
      <c r="N95" s="125"/>
    </row>
    <row r="96">
      <c r="N96" s="125"/>
    </row>
    <row r="97">
      <c r="N97" s="125"/>
    </row>
    <row r="98">
      <c r="N98" s="125"/>
    </row>
    <row r="99">
      <c r="N99" s="125"/>
    </row>
    <row r="100">
      <c r="N100" s="125"/>
    </row>
    <row r="101">
      <c r="N101" s="125"/>
    </row>
    <row r="102">
      <c r="N102" s="125"/>
    </row>
    <row r="103">
      <c r="N103" s="125"/>
    </row>
    <row r="104">
      <c r="N104" s="125"/>
    </row>
    <row r="105">
      <c r="N105" s="125"/>
    </row>
    <row r="106">
      <c r="N106" s="125"/>
    </row>
    <row r="107">
      <c r="N107" s="125"/>
    </row>
    <row r="108">
      <c r="N108" s="125"/>
    </row>
    <row r="109">
      <c r="N109" s="125"/>
    </row>
    <row r="110">
      <c r="N110" s="125"/>
    </row>
    <row r="111">
      <c r="N111" s="125"/>
    </row>
    <row r="112">
      <c r="N112" s="125"/>
    </row>
    <row r="113">
      <c r="N113" s="125"/>
    </row>
    <row r="114">
      <c r="N114" s="125"/>
    </row>
    <row r="115">
      <c r="N115" s="125"/>
    </row>
    <row r="116">
      <c r="N116" s="125"/>
    </row>
    <row r="117">
      <c r="N117" s="125"/>
    </row>
    <row r="118">
      <c r="N118" s="125"/>
    </row>
    <row r="119">
      <c r="N119" s="125"/>
    </row>
    <row r="120">
      <c r="N120" s="125"/>
    </row>
    <row r="121">
      <c r="N121" s="125"/>
    </row>
    <row r="122">
      <c r="N122" s="125"/>
    </row>
    <row r="123">
      <c r="N123" s="125"/>
    </row>
    <row r="124">
      <c r="N124" s="125"/>
    </row>
    <row r="125">
      <c r="N125" s="125"/>
    </row>
    <row r="126">
      <c r="N126" s="125"/>
    </row>
    <row r="127">
      <c r="N127" s="125"/>
    </row>
    <row r="128">
      <c r="N128" s="125"/>
    </row>
    <row r="129">
      <c r="N129" s="125"/>
    </row>
    <row r="130">
      <c r="N130" s="125"/>
    </row>
    <row r="131">
      <c r="N131" s="125"/>
    </row>
    <row r="132">
      <c r="N132" s="125"/>
    </row>
    <row r="133">
      <c r="N133" s="125"/>
    </row>
    <row r="134">
      <c r="N134" s="125"/>
    </row>
    <row r="135">
      <c r="N135" s="125"/>
    </row>
    <row r="136">
      <c r="N136" s="125"/>
    </row>
    <row r="137">
      <c r="N137" s="125"/>
    </row>
    <row r="138">
      <c r="N138" s="125"/>
    </row>
    <row r="139">
      <c r="N139" s="125"/>
    </row>
    <row r="140">
      <c r="N140" s="125"/>
    </row>
    <row r="141">
      <c r="N141" s="125"/>
    </row>
    <row r="142">
      <c r="N142" s="125"/>
    </row>
    <row r="143">
      <c r="N143" s="125"/>
    </row>
    <row r="144">
      <c r="N144" s="125"/>
    </row>
    <row r="145">
      <c r="N145" s="125"/>
    </row>
    <row r="146">
      <c r="N146" s="125"/>
    </row>
    <row r="147">
      <c r="N147" s="125"/>
    </row>
    <row r="148">
      <c r="N148" s="125"/>
    </row>
    <row r="149">
      <c r="N149" s="125"/>
    </row>
    <row r="150">
      <c r="N150" s="125"/>
    </row>
    <row r="151">
      <c r="N151" s="125"/>
    </row>
    <row r="152">
      <c r="N152" s="125"/>
    </row>
    <row r="153">
      <c r="N153" s="125"/>
    </row>
    <row r="154">
      <c r="N154" s="125"/>
    </row>
    <row r="155">
      <c r="N155" s="125"/>
    </row>
    <row r="156">
      <c r="N156" s="125"/>
    </row>
    <row r="157">
      <c r="N157" s="125"/>
    </row>
    <row r="158">
      <c r="N158" s="125"/>
    </row>
    <row r="159">
      <c r="N159" s="125"/>
    </row>
    <row r="160">
      <c r="N160" s="125"/>
    </row>
    <row r="161">
      <c r="N161" s="125"/>
    </row>
    <row r="162">
      <c r="N162" s="125"/>
    </row>
    <row r="163">
      <c r="N163" s="125"/>
    </row>
    <row r="164">
      <c r="N164" s="125"/>
    </row>
    <row r="165">
      <c r="N165" s="125"/>
    </row>
    <row r="166">
      <c r="N166" s="125"/>
    </row>
    <row r="167">
      <c r="N167" s="125"/>
    </row>
    <row r="168">
      <c r="N168" s="125"/>
    </row>
    <row r="169">
      <c r="N169" s="125"/>
    </row>
    <row r="170">
      <c r="N170" s="125"/>
    </row>
    <row r="171">
      <c r="N171" s="125"/>
    </row>
    <row r="172">
      <c r="N172" s="125"/>
    </row>
    <row r="173">
      <c r="N173" s="125"/>
    </row>
    <row r="174">
      <c r="N174" s="125"/>
    </row>
    <row r="175">
      <c r="N175" s="125"/>
    </row>
    <row r="176">
      <c r="N176" s="125"/>
    </row>
    <row r="177">
      <c r="N177" s="125"/>
    </row>
    <row r="178">
      <c r="N178" s="125"/>
    </row>
    <row r="179">
      <c r="N179" s="125"/>
    </row>
    <row r="180">
      <c r="N180" s="125"/>
    </row>
    <row r="181">
      <c r="N181" s="125"/>
    </row>
    <row r="182">
      <c r="N182" s="125"/>
    </row>
    <row r="183">
      <c r="N183" s="125"/>
    </row>
    <row r="184">
      <c r="N184" s="125"/>
    </row>
    <row r="185">
      <c r="N185" s="125"/>
    </row>
    <row r="186">
      <c r="N186" s="125"/>
    </row>
    <row r="187">
      <c r="N187" s="125"/>
    </row>
    <row r="188">
      <c r="N188" s="125"/>
    </row>
    <row r="189">
      <c r="N189" s="125"/>
    </row>
    <row r="190">
      <c r="N190" s="125"/>
    </row>
    <row r="191">
      <c r="N191" s="125"/>
    </row>
    <row r="192">
      <c r="N192" s="125"/>
    </row>
    <row r="193">
      <c r="N193" s="125"/>
    </row>
    <row r="194">
      <c r="N194" s="125"/>
    </row>
    <row r="195">
      <c r="N195" s="125"/>
    </row>
    <row r="196">
      <c r="N196" s="125"/>
    </row>
    <row r="197">
      <c r="N197" s="125"/>
    </row>
    <row r="198">
      <c r="N198" s="125"/>
    </row>
    <row r="199">
      <c r="N199" s="125"/>
    </row>
    <row r="200">
      <c r="N200" s="125"/>
    </row>
    <row r="201">
      <c r="N201" s="125"/>
    </row>
    <row r="202">
      <c r="N202" s="125"/>
    </row>
    <row r="203">
      <c r="N203" s="125"/>
    </row>
    <row r="204">
      <c r="N204" s="125"/>
    </row>
    <row r="205">
      <c r="N205" s="125"/>
    </row>
    <row r="206">
      <c r="N206" s="125"/>
    </row>
    <row r="207">
      <c r="N207" s="125"/>
    </row>
    <row r="208">
      <c r="N208" s="125"/>
    </row>
    <row r="209">
      <c r="N209" s="125"/>
    </row>
    <row r="210">
      <c r="N210" s="125"/>
    </row>
    <row r="211">
      <c r="N211" s="125"/>
    </row>
    <row r="212">
      <c r="N212" s="125"/>
    </row>
    <row r="213">
      <c r="N213" s="125"/>
    </row>
    <row r="214">
      <c r="N214" s="125"/>
    </row>
    <row r="215">
      <c r="N215" s="125"/>
    </row>
    <row r="216">
      <c r="N216" s="125"/>
    </row>
    <row r="217">
      <c r="N217" s="125"/>
    </row>
    <row r="218">
      <c r="N218" s="125"/>
    </row>
    <row r="219">
      <c r="N219" s="125"/>
    </row>
    <row r="220">
      <c r="N220" s="125"/>
    </row>
    <row r="221">
      <c r="N221" s="125"/>
    </row>
    <row r="222">
      <c r="N222" s="125"/>
    </row>
    <row r="223">
      <c r="N223" s="125"/>
    </row>
    <row r="224">
      <c r="N224" s="125"/>
    </row>
    <row r="225">
      <c r="N225" s="125"/>
    </row>
    <row r="226">
      <c r="N226" s="125"/>
    </row>
    <row r="227">
      <c r="N227" s="125"/>
    </row>
    <row r="228">
      <c r="N228" s="125"/>
    </row>
    <row r="229">
      <c r="N229" s="125"/>
    </row>
    <row r="230">
      <c r="N230" s="125"/>
    </row>
    <row r="231">
      <c r="N231" s="125"/>
    </row>
    <row r="232">
      <c r="N232" s="125"/>
    </row>
    <row r="233">
      <c r="N233" s="125"/>
    </row>
    <row r="234">
      <c r="N234" s="125"/>
    </row>
    <row r="235">
      <c r="N235" s="125"/>
    </row>
    <row r="236">
      <c r="N236" s="125"/>
    </row>
    <row r="237">
      <c r="N237" s="125"/>
    </row>
    <row r="238">
      <c r="N238" s="125"/>
    </row>
    <row r="239">
      <c r="N239" s="125"/>
    </row>
    <row r="240">
      <c r="N240" s="125"/>
    </row>
    <row r="241">
      <c r="N241" s="125"/>
    </row>
    <row r="242">
      <c r="N242" s="125"/>
    </row>
    <row r="243">
      <c r="N243" s="125"/>
    </row>
    <row r="244">
      <c r="N244" s="125"/>
    </row>
    <row r="245">
      <c r="N245" s="125"/>
    </row>
    <row r="246">
      <c r="N246" s="125"/>
    </row>
    <row r="247">
      <c r="N247" s="125"/>
    </row>
    <row r="248">
      <c r="N248" s="125"/>
    </row>
    <row r="249">
      <c r="N249" s="125"/>
    </row>
    <row r="250">
      <c r="N250" s="125"/>
    </row>
    <row r="251">
      <c r="N251" s="125"/>
    </row>
    <row r="252">
      <c r="N252" s="125"/>
    </row>
    <row r="253">
      <c r="N253" s="125"/>
    </row>
    <row r="254">
      <c r="N254" s="125"/>
    </row>
    <row r="255">
      <c r="N255" s="125"/>
    </row>
    <row r="256">
      <c r="N256" s="125"/>
    </row>
    <row r="257">
      <c r="N257" s="125"/>
    </row>
    <row r="258">
      <c r="N258" s="125"/>
    </row>
    <row r="259">
      <c r="N259" s="125"/>
    </row>
    <row r="260">
      <c r="N260" s="125"/>
    </row>
    <row r="261">
      <c r="N261" s="125"/>
    </row>
    <row r="262">
      <c r="N262" s="125"/>
    </row>
    <row r="263">
      <c r="N263" s="125"/>
    </row>
    <row r="264">
      <c r="N264" s="125"/>
    </row>
    <row r="265">
      <c r="N265" s="125"/>
    </row>
    <row r="266">
      <c r="N266" s="125"/>
    </row>
    <row r="267">
      <c r="N267" s="125"/>
    </row>
    <row r="268">
      <c r="N268" s="125"/>
    </row>
    <row r="269">
      <c r="N269" s="125"/>
    </row>
    <row r="270">
      <c r="N270" s="125"/>
    </row>
    <row r="271">
      <c r="N271" s="125"/>
    </row>
    <row r="272">
      <c r="N272" s="125"/>
    </row>
    <row r="273">
      <c r="N273" s="125"/>
    </row>
    <row r="274">
      <c r="N274" s="125"/>
    </row>
    <row r="275">
      <c r="N275" s="125"/>
    </row>
    <row r="276">
      <c r="N276" s="125"/>
    </row>
    <row r="277">
      <c r="N277" s="125"/>
    </row>
    <row r="278">
      <c r="N278" s="125"/>
    </row>
    <row r="279">
      <c r="N279" s="125"/>
    </row>
    <row r="280">
      <c r="N280" s="125"/>
    </row>
    <row r="281">
      <c r="N281" s="125"/>
    </row>
    <row r="282">
      <c r="N282" s="125"/>
    </row>
    <row r="283">
      <c r="N283" s="125"/>
    </row>
    <row r="284">
      <c r="N284" s="125"/>
    </row>
    <row r="285">
      <c r="N285" s="125"/>
    </row>
    <row r="286">
      <c r="N286" s="125"/>
    </row>
    <row r="287">
      <c r="N287" s="125"/>
    </row>
    <row r="288">
      <c r="N288" s="125"/>
    </row>
    <row r="289">
      <c r="N289" s="125"/>
    </row>
    <row r="290">
      <c r="N290" s="125"/>
    </row>
    <row r="291">
      <c r="N291" s="125"/>
    </row>
    <row r="292">
      <c r="N292" s="125"/>
    </row>
    <row r="293">
      <c r="N293" s="125"/>
    </row>
    <row r="294">
      <c r="N294" s="125"/>
    </row>
    <row r="295">
      <c r="N295" s="125"/>
    </row>
    <row r="296">
      <c r="N296" s="125"/>
    </row>
    <row r="297">
      <c r="N297" s="125"/>
    </row>
    <row r="298">
      <c r="N298" s="125"/>
    </row>
    <row r="299">
      <c r="N299" s="125"/>
    </row>
    <row r="300">
      <c r="N300" s="125"/>
    </row>
    <row r="301">
      <c r="N301" s="125"/>
    </row>
    <row r="302">
      <c r="N302" s="125"/>
    </row>
    <row r="303">
      <c r="N303" s="125"/>
    </row>
    <row r="304">
      <c r="N304" s="125"/>
    </row>
    <row r="305">
      <c r="N305" s="125"/>
    </row>
    <row r="306">
      <c r="N306" s="125"/>
    </row>
    <row r="307">
      <c r="N307" s="125"/>
    </row>
    <row r="308">
      <c r="N308" s="125"/>
    </row>
    <row r="309">
      <c r="N309" s="125"/>
    </row>
    <row r="310">
      <c r="N310" s="125"/>
    </row>
    <row r="311">
      <c r="N311" s="125"/>
    </row>
    <row r="312">
      <c r="N312" s="125"/>
    </row>
    <row r="313">
      <c r="N313" s="125"/>
    </row>
    <row r="314">
      <c r="N314" s="125"/>
    </row>
    <row r="315">
      <c r="N315" s="125"/>
    </row>
    <row r="316">
      <c r="N316" s="125"/>
    </row>
    <row r="317">
      <c r="N317" s="125"/>
    </row>
    <row r="318">
      <c r="N318" s="125"/>
    </row>
    <row r="319">
      <c r="N319" s="125"/>
    </row>
    <row r="320">
      <c r="N320" s="125"/>
    </row>
    <row r="321">
      <c r="N321" s="125"/>
    </row>
    <row r="322">
      <c r="N322" s="125"/>
    </row>
    <row r="323">
      <c r="N323" s="125"/>
    </row>
    <row r="324">
      <c r="N324" s="125"/>
    </row>
    <row r="325">
      <c r="N325" s="125"/>
    </row>
    <row r="326">
      <c r="N326" s="125"/>
    </row>
    <row r="327">
      <c r="N327" s="125"/>
    </row>
    <row r="328">
      <c r="N328" s="125"/>
    </row>
    <row r="329">
      <c r="N329" s="125"/>
    </row>
    <row r="330">
      <c r="N330" s="125"/>
    </row>
    <row r="331">
      <c r="N331" s="125"/>
    </row>
    <row r="332">
      <c r="N332" s="125"/>
    </row>
    <row r="333">
      <c r="N333" s="125"/>
    </row>
    <row r="334">
      <c r="N334" s="125"/>
    </row>
    <row r="335">
      <c r="N335" s="125"/>
    </row>
    <row r="336">
      <c r="N336" s="125"/>
    </row>
    <row r="337">
      <c r="N337" s="125"/>
    </row>
    <row r="338">
      <c r="N338" s="125"/>
    </row>
    <row r="339">
      <c r="N339" s="125"/>
    </row>
    <row r="340">
      <c r="N340" s="125"/>
    </row>
    <row r="341">
      <c r="N341" s="125"/>
    </row>
    <row r="342">
      <c r="N342" s="125"/>
    </row>
    <row r="343">
      <c r="N343" s="125"/>
    </row>
    <row r="344">
      <c r="N344" s="125"/>
    </row>
    <row r="345">
      <c r="N345" s="125"/>
    </row>
    <row r="346">
      <c r="N346" s="125"/>
    </row>
    <row r="347">
      <c r="N347" s="125"/>
    </row>
    <row r="348">
      <c r="N348" s="125"/>
    </row>
    <row r="349">
      <c r="N349" s="125"/>
    </row>
    <row r="350">
      <c r="N350" s="125"/>
    </row>
    <row r="351">
      <c r="N351" s="125"/>
    </row>
    <row r="352">
      <c r="N352" s="125"/>
    </row>
    <row r="353">
      <c r="N353" s="125"/>
    </row>
    <row r="354">
      <c r="N354" s="125"/>
    </row>
    <row r="355">
      <c r="N355" s="125"/>
    </row>
    <row r="356">
      <c r="N356" s="125"/>
    </row>
    <row r="357">
      <c r="N357" s="125"/>
    </row>
    <row r="358">
      <c r="N358" s="125"/>
    </row>
    <row r="359">
      <c r="N359" s="125"/>
    </row>
    <row r="360">
      <c r="N360" s="125"/>
    </row>
    <row r="361">
      <c r="N361" s="125"/>
    </row>
    <row r="362">
      <c r="N362" s="125"/>
    </row>
    <row r="363">
      <c r="N363" s="125"/>
    </row>
    <row r="364">
      <c r="N364" s="125"/>
    </row>
    <row r="365">
      <c r="N365" s="125"/>
    </row>
    <row r="366">
      <c r="N366" s="125"/>
    </row>
    <row r="367">
      <c r="N367" s="125"/>
    </row>
    <row r="368">
      <c r="N368" s="125"/>
    </row>
    <row r="369">
      <c r="N369" s="125"/>
    </row>
    <row r="370">
      <c r="N370" s="125"/>
    </row>
    <row r="371">
      <c r="N371" s="125"/>
    </row>
    <row r="372">
      <c r="N372" s="125"/>
    </row>
    <row r="373">
      <c r="N373" s="125"/>
    </row>
    <row r="374">
      <c r="N374" s="125"/>
    </row>
    <row r="375">
      <c r="N375" s="125"/>
    </row>
    <row r="376">
      <c r="N376" s="125"/>
    </row>
    <row r="377">
      <c r="N377" s="125"/>
    </row>
    <row r="378">
      <c r="N378" s="125"/>
    </row>
    <row r="379">
      <c r="N379" s="125"/>
    </row>
    <row r="380">
      <c r="N380" s="125"/>
    </row>
    <row r="381">
      <c r="N381" s="125"/>
    </row>
    <row r="382">
      <c r="N382" s="125"/>
    </row>
    <row r="383">
      <c r="N383" s="125"/>
    </row>
    <row r="384">
      <c r="N384" s="125"/>
    </row>
    <row r="385">
      <c r="N385" s="125"/>
    </row>
    <row r="386">
      <c r="N386" s="125"/>
    </row>
    <row r="387">
      <c r="N387" s="125"/>
    </row>
    <row r="388">
      <c r="N388" s="125"/>
    </row>
    <row r="389">
      <c r="N389" s="125"/>
    </row>
    <row r="390">
      <c r="N390" s="125"/>
    </row>
    <row r="391">
      <c r="N391" s="125"/>
    </row>
    <row r="392">
      <c r="N392" s="125"/>
    </row>
    <row r="393">
      <c r="N393" s="125"/>
    </row>
    <row r="394">
      <c r="N394" s="125"/>
    </row>
    <row r="395">
      <c r="N395" s="125"/>
    </row>
    <row r="396">
      <c r="N396" s="125"/>
    </row>
    <row r="397">
      <c r="N397" s="125"/>
    </row>
    <row r="398">
      <c r="N398" s="125"/>
    </row>
    <row r="399">
      <c r="N399" s="125"/>
    </row>
    <row r="400">
      <c r="N400" s="125"/>
    </row>
    <row r="401">
      <c r="N401" s="125"/>
    </row>
    <row r="402">
      <c r="N402" s="125"/>
    </row>
    <row r="403">
      <c r="N403" s="125"/>
    </row>
    <row r="404">
      <c r="N404" s="125"/>
    </row>
    <row r="405">
      <c r="N405" s="125"/>
    </row>
    <row r="406">
      <c r="N406" s="125"/>
    </row>
    <row r="407">
      <c r="N407" s="125"/>
    </row>
    <row r="408">
      <c r="N408" s="125"/>
    </row>
    <row r="409">
      <c r="N409" s="125"/>
    </row>
    <row r="410">
      <c r="N410" s="125"/>
    </row>
    <row r="411">
      <c r="N411" s="125"/>
    </row>
    <row r="412">
      <c r="N412" s="125"/>
    </row>
    <row r="413">
      <c r="N413" s="125"/>
    </row>
    <row r="414">
      <c r="N414" s="125"/>
    </row>
    <row r="415">
      <c r="N415" s="125"/>
    </row>
    <row r="416">
      <c r="N416" s="125"/>
    </row>
    <row r="417">
      <c r="N417" s="125"/>
    </row>
    <row r="418">
      <c r="N418" s="125"/>
    </row>
    <row r="419">
      <c r="N419" s="125"/>
    </row>
    <row r="420">
      <c r="N420" s="125"/>
    </row>
    <row r="421">
      <c r="N421" s="125"/>
    </row>
    <row r="422">
      <c r="N422" s="125"/>
    </row>
    <row r="423">
      <c r="N423" s="125"/>
    </row>
    <row r="424">
      <c r="N424" s="125"/>
    </row>
    <row r="425">
      <c r="N425" s="125"/>
    </row>
    <row r="426">
      <c r="N426" s="125"/>
    </row>
    <row r="427">
      <c r="N427" s="125"/>
    </row>
    <row r="428">
      <c r="N428" s="125"/>
    </row>
    <row r="429">
      <c r="N429" s="125"/>
    </row>
    <row r="430">
      <c r="N430" s="125"/>
    </row>
    <row r="431">
      <c r="N431" s="125"/>
    </row>
    <row r="432">
      <c r="N432" s="125"/>
    </row>
    <row r="433">
      <c r="N433" s="125"/>
    </row>
    <row r="434">
      <c r="N434" s="125"/>
    </row>
    <row r="435">
      <c r="N435" s="125"/>
    </row>
    <row r="436">
      <c r="N436" s="125"/>
    </row>
    <row r="437">
      <c r="N437" s="125"/>
    </row>
    <row r="438">
      <c r="N438" s="125"/>
    </row>
    <row r="439">
      <c r="N439" s="125"/>
    </row>
    <row r="440">
      <c r="N440" s="125"/>
    </row>
    <row r="441">
      <c r="N441" s="125"/>
    </row>
    <row r="442">
      <c r="N442" s="125"/>
    </row>
    <row r="443">
      <c r="N443" s="125"/>
    </row>
    <row r="444">
      <c r="N444" s="125"/>
    </row>
    <row r="445">
      <c r="N445" s="125"/>
    </row>
    <row r="446">
      <c r="N446" s="125"/>
    </row>
    <row r="447">
      <c r="N447" s="125"/>
    </row>
    <row r="448">
      <c r="N448" s="125"/>
    </row>
    <row r="449">
      <c r="N449" s="125"/>
    </row>
    <row r="450">
      <c r="N450" s="125"/>
    </row>
    <row r="451">
      <c r="N451" s="125"/>
    </row>
    <row r="452">
      <c r="N452" s="125"/>
    </row>
    <row r="453">
      <c r="N453" s="125"/>
    </row>
    <row r="454">
      <c r="N454" s="125"/>
    </row>
    <row r="455">
      <c r="N455" s="125"/>
    </row>
    <row r="456">
      <c r="N456" s="125"/>
    </row>
    <row r="457">
      <c r="N457" s="125"/>
    </row>
    <row r="458">
      <c r="N458" s="125"/>
    </row>
    <row r="459">
      <c r="N459" s="125"/>
    </row>
    <row r="460">
      <c r="N460" s="125"/>
    </row>
    <row r="461">
      <c r="N461" s="125"/>
    </row>
    <row r="462">
      <c r="N462" s="125"/>
    </row>
    <row r="463">
      <c r="N463" s="125"/>
    </row>
    <row r="464">
      <c r="N464" s="125"/>
    </row>
    <row r="465">
      <c r="N465" s="125"/>
    </row>
    <row r="466">
      <c r="N466" s="125"/>
    </row>
    <row r="467">
      <c r="N467" s="125"/>
    </row>
    <row r="468">
      <c r="N468" s="125"/>
    </row>
    <row r="469">
      <c r="N469" s="125"/>
    </row>
    <row r="470">
      <c r="N470" s="125"/>
    </row>
    <row r="471">
      <c r="N471" s="125"/>
    </row>
    <row r="472">
      <c r="N472" s="125"/>
    </row>
    <row r="473">
      <c r="N473" s="125"/>
    </row>
    <row r="474">
      <c r="N474" s="125"/>
    </row>
    <row r="475">
      <c r="N475" s="125"/>
    </row>
    <row r="476">
      <c r="N476" s="125"/>
    </row>
    <row r="477">
      <c r="N477" s="125"/>
    </row>
    <row r="478">
      <c r="N478" s="125"/>
    </row>
    <row r="479">
      <c r="N479" s="125"/>
    </row>
    <row r="480">
      <c r="N480" s="125"/>
    </row>
    <row r="481">
      <c r="N481" s="125"/>
    </row>
    <row r="482">
      <c r="N482" s="125"/>
    </row>
    <row r="483">
      <c r="N483" s="125"/>
    </row>
    <row r="484">
      <c r="N484" s="125"/>
    </row>
    <row r="485">
      <c r="N485" s="125"/>
    </row>
    <row r="486">
      <c r="N486" s="125"/>
    </row>
    <row r="487">
      <c r="N487" s="125"/>
    </row>
    <row r="488">
      <c r="N488" s="125"/>
    </row>
    <row r="489">
      <c r="N489" s="125"/>
    </row>
    <row r="490">
      <c r="N490" s="125"/>
    </row>
    <row r="491">
      <c r="N491" s="125"/>
    </row>
    <row r="492">
      <c r="N492" s="125"/>
    </row>
    <row r="493">
      <c r="N493" s="125"/>
    </row>
    <row r="494">
      <c r="N494" s="125"/>
    </row>
    <row r="495">
      <c r="N495" s="125"/>
    </row>
    <row r="496">
      <c r="N496" s="125"/>
    </row>
    <row r="497">
      <c r="N497" s="125"/>
    </row>
    <row r="498">
      <c r="N498" s="125"/>
    </row>
    <row r="499">
      <c r="N499" s="125"/>
    </row>
    <row r="500">
      <c r="N500" s="125"/>
    </row>
    <row r="501">
      <c r="N501" s="125"/>
    </row>
    <row r="502">
      <c r="N502" s="125"/>
    </row>
    <row r="503">
      <c r="N503" s="125"/>
    </row>
    <row r="504">
      <c r="N504" s="125"/>
    </row>
    <row r="505">
      <c r="N505" s="125"/>
    </row>
    <row r="506">
      <c r="N506" s="125"/>
    </row>
    <row r="507">
      <c r="N507" s="125"/>
    </row>
    <row r="508">
      <c r="N508" s="125"/>
    </row>
    <row r="509">
      <c r="N509" s="125"/>
    </row>
    <row r="510">
      <c r="N510" s="125"/>
    </row>
    <row r="511">
      <c r="N511" s="125"/>
    </row>
    <row r="512">
      <c r="N512" s="125"/>
    </row>
    <row r="513">
      <c r="N513" s="125"/>
    </row>
    <row r="514">
      <c r="N514" s="125"/>
    </row>
    <row r="515">
      <c r="N515" s="125"/>
    </row>
    <row r="516">
      <c r="N516" s="125"/>
    </row>
    <row r="517">
      <c r="N517" s="125"/>
    </row>
    <row r="518">
      <c r="N518" s="125"/>
    </row>
    <row r="519">
      <c r="N519" s="125"/>
    </row>
    <row r="520">
      <c r="N520" s="125"/>
    </row>
    <row r="521">
      <c r="N521" s="125"/>
    </row>
    <row r="522">
      <c r="N522" s="125"/>
    </row>
    <row r="523">
      <c r="N523" s="125"/>
    </row>
    <row r="524">
      <c r="N524" s="125"/>
    </row>
    <row r="525">
      <c r="N525" s="125"/>
    </row>
    <row r="526">
      <c r="N526" s="125"/>
    </row>
    <row r="527">
      <c r="N527" s="125"/>
    </row>
    <row r="528">
      <c r="N528" s="125"/>
    </row>
    <row r="529">
      <c r="N529" s="125"/>
    </row>
    <row r="530">
      <c r="N530" s="125"/>
    </row>
    <row r="531">
      <c r="N531" s="125"/>
    </row>
    <row r="532">
      <c r="N532" s="125"/>
    </row>
    <row r="533">
      <c r="N533" s="125"/>
    </row>
    <row r="534">
      <c r="N534" s="125"/>
    </row>
    <row r="535">
      <c r="N535" s="125"/>
    </row>
    <row r="536">
      <c r="N536" s="125"/>
    </row>
    <row r="537">
      <c r="N537" s="125"/>
    </row>
    <row r="538">
      <c r="N538" s="125"/>
    </row>
    <row r="539">
      <c r="N539" s="125"/>
    </row>
    <row r="540">
      <c r="N540" s="125"/>
    </row>
    <row r="541">
      <c r="N541" s="125"/>
    </row>
    <row r="542">
      <c r="N542" s="125"/>
    </row>
    <row r="543">
      <c r="N543" s="125"/>
    </row>
    <row r="544">
      <c r="N544" s="125"/>
    </row>
    <row r="545">
      <c r="N545" s="125"/>
    </row>
    <row r="546">
      <c r="N546" s="125"/>
    </row>
    <row r="547">
      <c r="N547" s="125"/>
    </row>
    <row r="548">
      <c r="N548" s="125"/>
    </row>
    <row r="549">
      <c r="N549" s="125"/>
    </row>
    <row r="550">
      <c r="N550" s="125"/>
    </row>
    <row r="551">
      <c r="N551" s="125"/>
    </row>
    <row r="552">
      <c r="N552" s="125"/>
    </row>
    <row r="553">
      <c r="N553" s="125"/>
    </row>
    <row r="554">
      <c r="N554" s="125"/>
    </row>
    <row r="555">
      <c r="N555" s="125"/>
    </row>
    <row r="556">
      <c r="N556" s="125"/>
    </row>
    <row r="557">
      <c r="N557" s="125"/>
    </row>
    <row r="558">
      <c r="N558" s="125"/>
    </row>
    <row r="559">
      <c r="N559" s="125"/>
    </row>
    <row r="560">
      <c r="N560" s="125"/>
    </row>
    <row r="561">
      <c r="N561" s="125"/>
    </row>
    <row r="562">
      <c r="N562" s="125"/>
    </row>
    <row r="563">
      <c r="N563" s="125"/>
    </row>
    <row r="564">
      <c r="N564" s="125"/>
    </row>
    <row r="565">
      <c r="N565" s="125"/>
    </row>
    <row r="566">
      <c r="N566" s="125"/>
    </row>
    <row r="567">
      <c r="N567" s="125"/>
    </row>
    <row r="568">
      <c r="N568" s="125"/>
    </row>
    <row r="569">
      <c r="N569" s="125"/>
    </row>
    <row r="570">
      <c r="N570" s="125"/>
    </row>
    <row r="571">
      <c r="N571" s="125"/>
    </row>
    <row r="572">
      <c r="N572" s="125"/>
    </row>
    <row r="573">
      <c r="N573" s="125"/>
    </row>
    <row r="574">
      <c r="N574" s="125"/>
    </row>
    <row r="575">
      <c r="N575" s="125"/>
    </row>
    <row r="576">
      <c r="N576" s="125"/>
    </row>
    <row r="577">
      <c r="N577" s="125"/>
    </row>
    <row r="578">
      <c r="N578" s="125"/>
    </row>
    <row r="579">
      <c r="N579" s="125"/>
    </row>
    <row r="580">
      <c r="N580" s="125"/>
    </row>
    <row r="581">
      <c r="N581" s="125"/>
    </row>
    <row r="582">
      <c r="N582" s="125"/>
    </row>
    <row r="583">
      <c r="N583" s="125"/>
    </row>
    <row r="584">
      <c r="N584" s="125"/>
    </row>
    <row r="585">
      <c r="N585" s="125"/>
    </row>
    <row r="586">
      <c r="N586" s="125"/>
    </row>
    <row r="587">
      <c r="N587" s="125"/>
    </row>
    <row r="588">
      <c r="N588" s="125"/>
    </row>
    <row r="589">
      <c r="N589" s="125"/>
    </row>
    <row r="590">
      <c r="N590" s="125"/>
    </row>
    <row r="591">
      <c r="N591" s="125"/>
    </row>
    <row r="592">
      <c r="N592" s="125"/>
    </row>
    <row r="593">
      <c r="N593" s="125"/>
    </row>
    <row r="594">
      <c r="N594" s="125"/>
    </row>
    <row r="595">
      <c r="N595" s="125"/>
    </row>
    <row r="596">
      <c r="N596" s="125"/>
    </row>
    <row r="597">
      <c r="N597" s="125"/>
    </row>
    <row r="598">
      <c r="N598" s="125"/>
    </row>
    <row r="599">
      <c r="N599" s="125"/>
    </row>
    <row r="600">
      <c r="N600" s="125"/>
    </row>
    <row r="601">
      <c r="N601" s="125"/>
    </row>
    <row r="602">
      <c r="N602" s="125"/>
    </row>
    <row r="603">
      <c r="N603" s="125"/>
    </row>
    <row r="604">
      <c r="N604" s="125"/>
    </row>
    <row r="605">
      <c r="N605" s="125"/>
    </row>
    <row r="606">
      <c r="N606" s="125"/>
    </row>
    <row r="607">
      <c r="N607" s="125"/>
    </row>
    <row r="608">
      <c r="N608" s="125"/>
    </row>
    <row r="609">
      <c r="N609" s="125"/>
    </row>
    <row r="610">
      <c r="N610" s="125"/>
    </row>
    <row r="611">
      <c r="N611" s="125"/>
    </row>
    <row r="612">
      <c r="N612" s="125"/>
    </row>
    <row r="613">
      <c r="N613" s="125"/>
    </row>
    <row r="614">
      <c r="N614" s="125"/>
    </row>
    <row r="615">
      <c r="N615" s="125"/>
    </row>
    <row r="616">
      <c r="N616" s="125"/>
    </row>
    <row r="617">
      <c r="N617" s="125"/>
    </row>
    <row r="618">
      <c r="N618" s="125"/>
    </row>
    <row r="619">
      <c r="N619" s="125"/>
    </row>
    <row r="620">
      <c r="N620" s="125"/>
    </row>
    <row r="621">
      <c r="N621" s="125"/>
    </row>
    <row r="622">
      <c r="N622" s="125"/>
    </row>
    <row r="623">
      <c r="N623" s="125"/>
    </row>
    <row r="624">
      <c r="N624" s="125"/>
    </row>
    <row r="625">
      <c r="N625" s="125"/>
    </row>
    <row r="626">
      <c r="N626" s="125"/>
    </row>
    <row r="627">
      <c r="N627" s="125"/>
    </row>
    <row r="628">
      <c r="N628" s="125"/>
    </row>
    <row r="629">
      <c r="N629" s="125"/>
    </row>
    <row r="630">
      <c r="N630" s="125"/>
    </row>
    <row r="631">
      <c r="N631" s="125"/>
    </row>
    <row r="632">
      <c r="N632" s="125"/>
    </row>
    <row r="633">
      <c r="N633" s="125"/>
    </row>
    <row r="634">
      <c r="N634" s="125"/>
    </row>
    <row r="635">
      <c r="N635" s="125"/>
    </row>
    <row r="636">
      <c r="N636" s="125"/>
    </row>
    <row r="637">
      <c r="N637" s="125"/>
    </row>
    <row r="638">
      <c r="N638" s="125"/>
    </row>
    <row r="639">
      <c r="N639" s="125"/>
    </row>
    <row r="640">
      <c r="N640" s="125"/>
    </row>
    <row r="641">
      <c r="N641" s="125"/>
    </row>
    <row r="642">
      <c r="N642" s="125"/>
    </row>
    <row r="643">
      <c r="N643" s="125"/>
    </row>
    <row r="644">
      <c r="N644" s="125"/>
    </row>
    <row r="645">
      <c r="N645" s="125"/>
    </row>
    <row r="646">
      <c r="N646" s="125"/>
    </row>
    <row r="647">
      <c r="N647" s="125"/>
    </row>
    <row r="648">
      <c r="N648" s="125"/>
    </row>
    <row r="649">
      <c r="N649" s="125"/>
    </row>
    <row r="650">
      <c r="N650" s="125"/>
    </row>
    <row r="651">
      <c r="N651" s="125"/>
    </row>
    <row r="652">
      <c r="N652" s="125"/>
    </row>
    <row r="653">
      <c r="N653" s="125"/>
    </row>
    <row r="654">
      <c r="N654" s="125"/>
    </row>
    <row r="655">
      <c r="N655" s="125"/>
    </row>
    <row r="656">
      <c r="N656" s="125"/>
    </row>
    <row r="657">
      <c r="N657" s="125"/>
    </row>
    <row r="658">
      <c r="N658" s="125"/>
    </row>
    <row r="659">
      <c r="N659" s="125"/>
    </row>
    <row r="660">
      <c r="N660" s="125"/>
    </row>
    <row r="661">
      <c r="N661" s="125"/>
    </row>
    <row r="662">
      <c r="N662" s="125"/>
    </row>
    <row r="663">
      <c r="N663" s="125"/>
    </row>
    <row r="664">
      <c r="N664" s="125"/>
    </row>
    <row r="665">
      <c r="N665" s="125"/>
    </row>
    <row r="666">
      <c r="N666" s="125"/>
    </row>
    <row r="667">
      <c r="N667" s="125"/>
    </row>
    <row r="668">
      <c r="N668" s="125"/>
    </row>
    <row r="669">
      <c r="N669" s="125"/>
    </row>
    <row r="670">
      <c r="N670" s="125"/>
    </row>
    <row r="671">
      <c r="N671" s="125"/>
    </row>
    <row r="672">
      <c r="N672" s="125"/>
    </row>
    <row r="673">
      <c r="N673" s="125"/>
    </row>
    <row r="674">
      <c r="N674" s="125"/>
    </row>
    <row r="675">
      <c r="N675" s="125"/>
    </row>
    <row r="676">
      <c r="N676" s="125"/>
    </row>
    <row r="677">
      <c r="N677" s="125"/>
    </row>
    <row r="678">
      <c r="N678" s="125"/>
    </row>
    <row r="679">
      <c r="N679" s="125"/>
    </row>
    <row r="680">
      <c r="N680" s="125"/>
    </row>
    <row r="681">
      <c r="N681" s="125"/>
    </row>
    <row r="682">
      <c r="N682" s="125"/>
    </row>
    <row r="683">
      <c r="N683" s="125"/>
    </row>
    <row r="684">
      <c r="N684" s="125"/>
    </row>
    <row r="685">
      <c r="N685" s="125"/>
    </row>
    <row r="686">
      <c r="N686" s="125"/>
    </row>
    <row r="687">
      <c r="N687" s="125"/>
    </row>
    <row r="688">
      <c r="N688" s="125"/>
    </row>
    <row r="689">
      <c r="N689" s="125"/>
    </row>
    <row r="690">
      <c r="N690" s="125"/>
    </row>
    <row r="691">
      <c r="N691" s="125"/>
    </row>
    <row r="692">
      <c r="N692" s="125"/>
    </row>
    <row r="693">
      <c r="N693" s="125"/>
    </row>
    <row r="694">
      <c r="N694" s="125"/>
    </row>
    <row r="695">
      <c r="N695" s="125"/>
    </row>
    <row r="696">
      <c r="N696" s="125"/>
    </row>
    <row r="697">
      <c r="N697" s="125"/>
    </row>
    <row r="698">
      <c r="N698" s="125"/>
    </row>
    <row r="699">
      <c r="N699" s="125"/>
    </row>
    <row r="700">
      <c r="N700" s="125"/>
    </row>
    <row r="701">
      <c r="N701" s="125"/>
    </row>
    <row r="702">
      <c r="N702" s="125"/>
    </row>
    <row r="703">
      <c r="N703" s="125"/>
    </row>
    <row r="704">
      <c r="N704" s="125"/>
    </row>
    <row r="705">
      <c r="N705" s="125"/>
    </row>
    <row r="706">
      <c r="N706" s="125"/>
    </row>
    <row r="707">
      <c r="N707" s="125"/>
    </row>
    <row r="708">
      <c r="N708" s="125"/>
    </row>
    <row r="709">
      <c r="N709" s="125"/>
    </row>
    <row r="710">
      <c r="N710" s="125"/>
    </row>
    <row r="711">
      <c r="N711" s="125"/>
    </row>
    <row r="712">
      <c r="N712" s="125"/>
    </row>
    <row r="713">
      <c r="N713" s="125"/>
    </row>
    <row r="714">
      <c r="N714" s="125"/>
    </row>
    <row r="715">
      <c r="N715" s="125"/>
    </row>
    <row r="716">
      <c r="N716" s="125"/>
    </row>
    <row r="717">
      <c r="N717" s="125"/>
    </row>
    <row r="718">
      <c r="N718" s="125"/>
    </row>
    <row r="719">
      <c r="N719" s="125"/>
    </row>
    <row r="720">
      <c r="N720" s="125"/>
    </row>
    <row r="721">
      <c r="N721" s="125"/>
    </row>
    <row r="722">
      <c r="N722" s="125"/>
    </row>
    <row r="723">
      <c r="N723" s="125"/>
    </row>
    <row r="724">
      <c r="N724" s="125"/>
    </row>
    <row r="725">
      <c r="N725" s="125"/>
    </row>
    <row r="726">
      <c r="N726" s="125"/>
    </row>
    <row r="727">
      <c r="N727" s="125"/>
    </row>
    <row r="728">
      <c r="N728" s="125"/>
    </row>
    <row r="729">
      <c r="N729" s="125"/>
    </row>
    <row r="730">
      <c r="N730" s="125"/>
    </row>
    <row r="731">
      <c r="N731" s="125"/>
    </row>
    <row r="732">
      <c r="N732" s="125"/>
    </row>
    <row r="733">
      <c r="N733" s="125"/>
    </row>
    <row r="734">
      <c r="N734" s="125"/>
    </row>
    <row r="735">
      <c r="N735" s="125"/>
    </row>
    <row r="736">
      <c r="N736" s="125"/>
    </row>
    <row r="737">
      <c r="N737" s="125"/>
    </row>
    <row r="738">
      <c r="N738" s="125"/>
    </row>
    <row r="739">
      <c r="N739" s="125"/>
    </row>
    <row r="740">
      <c r="N740" s="125"/>
    </row>
    <row r="741">
      <c r="N741" s="125"/>
    </row>
    <row r="742">
      <c r="N742" s="125"/>
    </row>
    <row r="743">
      <c r="N743" s="125"/>
    </row>
    <row r="744">
      <c r="N744" s="125"/>
    </row>
    <row r="745">
      <c r="N745" s="125"/>
    </row>
    <row r="746">
      <c r="N746" s="125"/>
    </row>
    <row r="747">
      <c r="N747" s="125"/>
    </row>
    <row r="748">
      <c r="N748" s="125"/>
    </row>
    <row r="749">
      <c r="N749" s="125"/>
    </row>
    <row r="750">
      <c r="N750" s="125"/>
    </row>
    <row r="751">
      <c r="N751" s="125"/>
    </row>
    <row r="752">
      <c r="N752" s="125"/>
    </row>
    <row r="753">
      <c r="N753" s="125"/>
    </row>
    <row r="754">
      <c r="N754" s="125"/>
    </row>
    <row r="755">
      <c r="N755" s="125"/>
    </row>
    <row r="756">
      <c r="N756" s="125"/>
    </row>
    <row r="757">
      <c r="N757" s="125"/>
    </row>
    <row r="758">
      <c r="N758" s="125"/>
    </row>
    <row r="759">
      <c r="N759" s="125"/>
    </row>
    <row r="760">
      <c r="N760" s="125"/>
    </row>
    <row r="761">
      <c r="N761" s="125"/>
    </row>
    <row r="762">
      <c r="N762" s="125"/>
    </row>
    <row r="763">
      <c r="N763" s="125"/>
    </row>
    <row r="764">
      <c r="N764" s="125"/>
    </row>
    <row r="765">
      <c r="N765" s="125"/>
    </row>
    <row r="766">
      <c r="N766" s="125"/>
    </row>
    <row r="767">
      <c r="N767" s="125"/>
    </row>
    <row r="768">
      <c r="N768" s="125"/>
    </row>
    <row r="769">
      <c r="N769" s="125"/>
    </row>
    <row r="770">
      <c r="N770" s="125"/>
    </row>
    <row r="771">
      <c r="N771" s="125"/>
    </row>
    <row r="772">
      <c r="N772" s="125"/>
    </row>
    <row r="773">
      <c r="N773" s="125"/>
    </row>
    <row r="774">
      <c r="N774" s="125"/>
    </row>
    <row r="775">
      <c r="N775" s="125"/>
    </row>
    <row r="776">
      <c r="N776" s="125"/>
    </row>
    <row r="777">
      <c r="N777" s="125"/>
    </row>
    <row r="778">
      <c r="N778" s="125"/>
    </row>
    <row r="779">
      <c r="N779" s="125"/>
    </row>
    <row r="780">
      <c r="N780" s="125"/>
    </row>
    <row r="781">
      <c r="N781" s="125"/>
    </row>
    <row r="782">
      <c r="N782" s="125"/>
    </row>
    <row r="783">
      <c r="N783" s="125"/>
    </row>
    <row r="784">
      <c r="N784" s="125"/>
    </row>
    <row r="785">
      <c r="N785" s="125"/>
    </row>
    <row r="786">
      <c r="N786" s="125"/>
    </row>
    <row r="787">
      <c r="N787" s="125"/>
    </row>
    <row r="788">
      <c r="N788" s="125"/>
    </row>
    <row r="789">
      <c r="N789" s="125"/>
    </row>
    <row r="790">
      <c r="N790" s="125"/>
    </row>
    <row r="791">
      <c r="N791" s="125"/>
    </row>
    <row r="792">
      <c r="N792" s="125"/>
    </row>
    <row r="793">
      <c r="N793" s="125"/>
    </row>
    <row r="794">
      <c r="N794" s="125"/>
    </row>
    <row r="795">
      <c r="N795" s="125"/>
    </row>
    <row r="796">
      <c r="N796" s="125"/>
    </row>
    <row r="797">
      <c r="N797" s="125"/>
    </row>
    <row r="798">
      <c r="N798" s="125"/>
    </row>
    <row r="799">
      <c r="N799" s="125"/>
    </row>
    <row r="800">
      <c r="N800" s="125"/>
    </row>
    <row r="801">
      <c r="N801" s="125"/>
    </row>
    <row r="802">
      <c r="N802" s="125"/>
    </row>
    <row r="803">
      <c r="N803" s="125"/>
    </row>
    <row r="804">
      <c r="N804" s="125"/>
    </row>
    <row r="805">
      <c r="N805" s="125"/>
    </row>
    <row r="806">
      <c r="N806" s="125"/>
    </row>
    <row r="807">
      <c r="N807" s="125"/>
    </row>
    <row r="808">
      <c r="N808" s="125"/>
    </row>
    <row r="809">
      <c r="N809" s="125"/>
    </row>
    <row r="810">
      <c r="N810" s="125"/>
    </row>
    <row r="811">
      <c r="N811" s="125"/>
    </row>
    <row r="812">
      <c r="N812" s="125"/>
    </row>
    <row r="813">
      <c r="N813" s="125"/>
    </row>
    <row r="814">
      <c r="N814" s="125"/>
    </row>
    <row r="815">
      <c r="N815" s="125"/>
    </row>
    <row r="816">
      <c r="N816" s="125"/>
    </row>
    <row r="817">
      <c r="N817" s="125"/>
    </row>
    <row r="818">
      <c r="N818" s="125"/>
    </row>
    <row r="819">
      <c r="N819" s="125"/>
    </row>
    <row r="820">
      <c r="N820" s="125"/>
    </row>
    <row r="821">
      <c r="N821" s="125"/>
    </row>
    <row r="822">
      <c r="N822" s="125"/>
    </row>
    <row r="823">
      <c r="N823" s="125"/>
    </row>
    <row r="824">
      <c r="N824" s="125"/>
    </row>
    <row r="825">
      <c r="N825" s="125"/>
    </row>
    <row r="826">
      <c r="N826" s="125"/>
    </row>
    <row r="827">
      <c r="N827" s="125"/>
    </row>
    <row r="828">
      <c r="N828" s="125"/>
    </row>
    <row r="829">
      <c r="N829" s="125"/>
    </row>
    <row r="830">
      <c r="N830" s="125"/>
    </row>
    <row r="831">
      <c r="N831" s="125"/>
    </row>
    <row r="832">
      <c r="N832" s="125"/>
    </row>
    <row r="833">
      <c r="N833" s="125"/>
    </row>
    <row r="834">
      <c r="N834" s="125"/>
    </row>
    <row r="835">
      <c r="N835" s="125"/>
    </row>
    <row r="836">
      <c r="N836" s="125"/>
    </row>
    <row r="837">
      <c r="N837" s="125"/>
    </row>
    <row r="838">
      <c r="N838" s="125"/>
    </row>
    <row r="839">
      <c r="N839" s="125"/>
    </row>
    <row r="840">
      <c r="N840" s="125"/>
    </row>
    <row r="841">
      <c r="N841" s="125"/>
    </row>
    <row r="842">
      <c r="N842" s="125"/>
    </row>
    <row r="843">
      <c r="N843" s="125"/>
    </row>
    <row r="844">
      <c r="N844" s="125"/>
    </row>
    <row r="845">
      <c r="N845" s="125"/>
    </row>
    <row r="846">
      <c r="N846" s="125"/>
    </row>
    <row r="847">
      <c r="N847" s="125"/>
    </row>
    <row r="848">
      <c r="N848" s="125"/>
    </row>
    <row r="849">
      <c r="N849" s="125"/>
    </row>
    <row r="850">
      <c r="N850" s="125"/>
    </row>
    <row r="851">
      <c r="N851" s="125"/>
    </row>
    <row r="852">
      <c r="N852" s="125"/>
    </row>
    <row r="853">
      <c r="N853" s="125"/>
    </row>
    <row r="854">
      <c r="N854" s="125"/>
    </row>
    <row r="855">
      <c r="N855" s="125"/>
    </row>
    <row r="856">
      <c r="N856" s="125"/>
    </row>
    <row r="857">
      <c r="N857" s="125"/>
    </row>
    <row r="858">
      <c r="N858" s="125"/>
    </row>
    <row r="859">
      <c r="N859" s="125"/>
    </row>
    <row r="860">
      <c r="N860" s="125"/>
    </row>
    <row r="861">
      <c r="N861" s="125"/>
    </row>
    <row r="862">
      <c r="N862" s="125"/>
    </row>
    <row r="863">
      <c r="N863" s="125"/>
    </row>
    <row r="864">
      <c r="N864" s="125"/>
    </row>
    <row r="865">
      <c r="N865" s="125"/>
    </row>
    <row r="866">
      <c r="N866" s="125"/>
    </row>
    <row r="867">
      <c r="N867" s="125"/>
    </row>
    <row r="868">
      <c r="N868" s="125"/>
    </row>
    <row r="869">
      <c r="N869" s="125"/>
    </row>
    <row r="870">
      <c r="N870" s="125"/>
    </row>
    <row r="871">
      <c r="N871" s="125"/>
    </row>
    <row r="872">
      <c r="N872" s="125"/>
    </row>
    <row r="873">
      <c r="N873" s="125"/>
    </row>
    <row r="874">
      <c r="N874" s="125"/>
    </row>
    <row r="875">
      <c r="N875" s="125"/>
    </row>
    <row r="876">
      <c r="N876" s="125"/>
    </row>
    <row r="877">
      <c r="N877" s="125"/>
    </row>
    <row r="878">
      <c r="N878" s="125"/>
    </row>
    <row r="879">
      <c r="N879" s="125"/>
    </row>
    <row r="880">
      <c r="N880" s="125"/>
    </row>
    <row r="881">
      <c r="N881" s="125"/>
    </row>
    <row r="882">
      <c r="N882" s="125"/>
    </row>
    <row r="883">
      <c r="N883" s="125"/>
    </row>
    <row r="884">
      <c r="N884" s="125"/>
    </row>
    <row r="885">
      <c r="N885" s="125"/>
    </row>
    <row r="886">
      <c r="N886" s="125"/>
    </row>
    <row r="887">
      <c r="N887" s="125"/>
    </row>
    <row r="888">
      <c r="N888" s="125"/>
    </row>
    <row r="889">
      <c r="N889" s="125"/>
    </row>
    <row r="890">
      <c r="N890" s="125"/>
    </row>
    <row r="891">
      <c r="N891" s="125"/>
    </row>
    <row r="892">
      <c r="N892" s="125"/>
    </row>
    <row r="893">
      <c r="N893" s="125"/>
    </row>
    <row r="894">
      <c r="N894" s="125"/>
    </row>
    <row r="895">
      <c r="N895" s="125"/>
    </row>
    <row r="896">
      <c r="N896" s="125"/>
    </row>
    <row r="897">
      <c r="N897" s="125"/>
    </row>
    <row r="898">
      <c r="N898" s="125"/>
    </row>
    <row r="899">
      <c r="N899" s="125"/>
    </row>
    <row r="900">
      <c r="N900" s="125"/>
    </row>
    <row r="901">
      <c r="N901" s="125"/>
    </row>
    <row r="902">
      <c r="N902" s="125"/>
    </row>
    <row r="903">
      <c r="N903" s="125"/>
    </row>
    <row r="904">
      <c r="N904" s="125"/>
    </row>
    <row r="905">
      <c r="N905" s="125"/>
    </row>
    <row r="906">
      <c r="N906" s="125"/>
    </row>
    <row r="907">
      <c r="N907" s="125"/>
    </row>
    <row r="908">
      <c r="N908" s="125"/>
    </row>
    <row r="909">
      <c r="N909" s="125"/>
    </row>
    <row r="910">
      <c r="N910" s="125"/>
    </row>
    <row r="911">
      <c r="N911" s="125"/>
    </row>
    <row r="912">
      <c r="N912" s="125"/>
    </row>
    <row r="913">
      <c r="N913" s="125"/>
    </row>
    <row r="914">
      <c r="N914" s="125"/>
    </row>
    <row r="915">
      <c r="N915" s="125"/>
    </row>
    <row r="916">
      <c r="N916" s="125"/>
    </row>
    <row r="917">
      <c r="N917" s="125"/>
    </row>
    <row r="918">
      <c r="N918" s="125"/>
    </row>
    <row r="919">
      <c r="N919" s="125"/>
    </row>
    <row r="920">
      <c r="N920" s="125"/>
    </row>
    <row r="921">
      <c r="N921" s="125"/>
    </row>
    <row r="922">
      <c r="N922" s="125"/>
    </row>
    <row r="923">
      <c r="N923" s="125"/>
    </row>
    <row r="924">
      <c r="N924" s="125"/>
    </row>
    <row r="925">
      <c r="N925" s="125"/>
    </row>
    <row r="926">
      <c r="N926" s="125"/>
    </row>
    <row r="927">
      <c r="N927" s="125"/>
    </row>
    <row r="928">
      <c r="N928" s="125"/>
    </row>
    <row r="929">
      <c r="N929" s="125"/>
    </row>
    <row r="930">
      <c r="N930" s="125"/>
    </row>
    <row r="931">
      <c r="N931" s="125"/>
    </row>
    <row r="932">
      <c r="N932" s="125"/>
    </row>
    <row r="933">
      <c r="N933" s="125"/>
    </row>
    <row r="934">
      <c r="N934" s="125"/>
    </row>
    <row r="935">
      <c r="N935" s="125"/>
    </row>
    <row r="936">
      <c r="N936" s="125"/>
    </row>
    <row r="937">
      <c r="N937" s="125"/>
    </row>
    <row r="938">
      <c r="N938" s="125"/>
    </row>
    <row r="939">
      <c r="N939" s="125"/>
    </row>
    <row r="940">
      <c r="N940" s="125"/>
    </row>
    <row r="941">
      <c r="N941" s="125"/>
    </row>
    <row r="942">
      <c r="N942" s="125"/>
    </row>
    <row r="943">
      <c r="N943" s="125"/>
    </row>
    <row r="944">
      <c r="N944" s="125"/>
    </row>
    <row r="945">
      <c r="N945" s="125"/>
    </row>
    <row r="946">
      <c r="N946" s="125"/>
    </row>
    <row r="947">
      <c r="N947" s="125"/>
    </row>
    <row r="948">
      <c r="N948" s="125"/>
    </row>
    <row r="949">
      <c r="N949" s="125"/>
    </row>
    <row r="950">
      <c r="N950" s="125"/>
    </row>
    <row r="951">
      <c r="N951" s="125"/>
    </row>
    <row r="952">
      <c r="N952" s="125"/>
    </row>
    <row r="953">
      <c r="N953" s="125"/>
    </row>
    <row r="954">
      <c r="N954" s="125"/>
    </row>
    <row r="955">
      <c r="N955" s="125"/>
    </row>
    <row r="956">
      <c r="N956" s="125"/>
    </row>
    <row r="957">
      <c r="N957" s="125"/>
    </row>
    <row r="958">
      <c r="N958" s="125"/>
    </row>
    <row r="959">
      <c r="N959" s="125"/>
    </row>
    <row r="960">
      <c r="N960" s="125"/>
    </row>
    <row r="961">
      <c r="N961" s="125"/>
    </row>
    <row r="962">
      <c r="N962" s="125"/>
    </row>
    <row r="963">
      <c r="N963" s="125"/>
    </row>
    <row r="964">
      <c r="N964" s="125"/>
    </row>
    <row r="965">
      <c r="N965" s="125"/>
    </row>
    <row r="966">
      <c r="N966" s="125"/>
    </row>
    <row r="967">
      <c r="N967" s="125"/>
    </row>
    <row r="968">
      <c r="N968" s="125"/>
    </row>
    <row r="969">
      <c r="N969" s="125"/>
    </row>
    <row r="970">
      <c r="N970" s="125"/>
    </row>
    <row r="971">
      <c r="N971" s="125"/>
    </row>
    <row r="972">
      <c r="N972" s="125"/>
    </row>
    <row r="973">
      <c r="N973" s="125"/>
    </row>
    <row r="974">
      <c r="N974" s="125"/>
    </row>
    <row r="975">
      <c r="N975" s="125"/>
    </row>
    <row r="976">
      <c r="N976" s="125"/>
    </row>
    <row r="977">
      <c r="N977" s="125"/>
    </row>
    <row r="978">
      <c r="N978" s="125"/>
    </row>
    <row r="979">
      <c r="N979" s="125"/>
    </row>
    <row r="980">
      <c r="N980" s="125"/>
    </row>
    <row r="981">
      <c r="N981" s="125"/>
    </row>
    <row r="982">
      <c r="N982" s="125"/>
    </row>
    <row r="983">
      <c r="N983" s="125"/>
    </row>
    <row r="984">
      <c r="N984" s="125"/>
    </row>
    <row r="985">
      <c r="N985" s="125"/>
    </row>
    <row r="986">
      <c r="N986" s="125"/>
    </row>
    <row r="987">
      <c r="N987" s="125"/>
    </row>
    <row r="988">
      <c r="N988" s="125"/>
    </row>
    <row r="989">
      <c r="N989" s="125"/>
    </row>
    <row r="990">
      <c r="N990" s="125"/>
    </row>
    <row r="991">
      <c r="N991" s="125"/>
    </row>
    <row r="992">
      <c r="N992" s="125"/>
    </row>
    <row r="993">
      <c r="N993" s="125"/>
    </row>
    <row r="994">
      <c r="N994" s="125"/>
    </row>
    <row r="995">
      <c r="N995" s="125"/>
    </row>
    <row r="996">
      <c r="N996" s="125"/>
    </row>
    <row r="997">
      <c r="N997" s="125"/>
    </row>
    <row r="998">
      <c r="N998" s="125"/>
    </row>
    <row r="999">
      <c r="N999" s="125"/>
    </row>
    <row r="1000">
      <c r="N1000" s="125"/>
    </row>
  </sheetData>
  <mergeCells count="18">
    <mergeCell ref="F24:F26"/>
    <mergeCell ref="G24:G26"/>
    <mergeCell ref="I24:I26"/>
    <mergeCell ref="F16:H16"/>
    <mergeCell ref="F17:H17"/>
    <mergeCell ref="F15:H15"/>
    <mergeCell ref="F14:H14"/>
    <mergeCell ref="D11:F11"/>
    <mergeCell ref="D7:F7"/>
    <mergeCell ref="K4:K6"/>
    <mergeCell ref="G4:G6"/>
    <mergeCell ref="C4:C6"/>
    <mergeCell ref="C24:E26"/>
    <mergeCell ref="C27:E27"/>
    <mergeCell ref="C30:E30"/>
    <mergeCell ref="C28:E28"/>
    <mergeCell ref="F18:H18"/>
    <mergeCell ref="D3:F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7.67"/>
    <col customWidth="1" min="3" max="3" width="6.0"/>
    <col customWidth="1" min="4" max="4" width="8.11"/>
    <col customWidth="1" min="5" max="5" width="6.22"/>
    <col customWidth="1" min="6" max="6" width="9.33"/>
    <col customWidth="1" min="7" max="8" width="5.33"/>
    <col customWidth="1" min="9" max="10" width="8.11"/>
    <col customWidth="1" min="11" max="11" width="5.33"/>
    <col customWidth="1" min="12" max="12" width="5.22"/>
    <col customWidth="1" min="13" max="13" width="20.89"/>
  </cols>
  <sheetData>
    <row r="1">
      <c r="A1" s="1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5"/>
      <c r="M1" s="6" t="s">
        <v>0</v>
      </c>
      <c r="N1" s="16">
        <v>1125.0</v>
      </c>
    </row>
    <row r="2">
      <c r="A2" s="5"/>
      <c r="B2" s="9" t="s">
        <v>2</v>
      </c>
      <c r="C2" s="10">
        <v>1.0</v>
      </c>
      <c r="D2" s="10">
        <v>2.0</v>
      </c>
      <c r="E2" s="10">
        <v>3.0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8</v>
      </c>
      <c r="L2" s="5"/>
      <c r="M2" s="12" t="s">
        <v>9</v>
      </c>
      <c r="N2" s="17">
        <f>'集計'!C2</f>
        <v>189</v>
      </c>
    </row>
    <row r="3">
      <c r="A3" s="5" t="s">
        <v>10</v>
      </c>
      <c r="B3" s="18">
        <v>1.0</v>
      </c>
      <c r="C3" s="19"/>
      <c r="D3" s="20">
        <f>K3-sum(G3:J3)</f>
        <v>66.02162162</v>
      </c>
      <c r="E3" s="21"/>
      <c r="F3" s="22"/>
      <c r="G3" s="23">
        <f>(N17-(N15-(N16-N13)))</f>
        <v>66</v>
      </c>
      <c r="H3" s="24">
        <f>0/50*H11</f>
        <v>0</v>
      </c>
      <c r="I3" s="24">
        <f>4/20*I11</f>
        <v>4.6</v>
      </c>
      <c r="J3" s="25">
        <f>12/37*J11</f>
        <v>10.37837838</v>
      </c>
      <c r="K3" s="23">
        <f>(N14-N12)+(N17-(N15-(N16-N13)))</f>
        <v>147</v>
      </c>
      <c r="L3" s="5"/>
      <c r="M3" s="12" t="s">
        <v>11</v>
      </c>
      <c r="N3" s="17">
        <f>'集計'!C3</f>
        <v>92</v>
      </c>
    </row>
    <row r="4">
      <c r="A4" s="5"/>
      <c r="B4" s="18">
        <v>2.0</v>
      </c>
      <c r="C4" s="29">
        <f>C11-sum(C7:C10)</f>
        <v>5.428571429</v>
      </c>
      <c r="D4" s="31"/>
      <c r="E4" s="33"/>
      <c r="F4" s="33"/>
      <c r="G4" s="36">
        <f>G11-G3-sum(G8:G10)</f>
        <v>98.74285714</v>
      </c>
      <c r="H4" s="24">
        <f>1/50*H11</f>
        <v>0.88</v>
      </c>
      <c r="I4" s="24">
        <f>2/20*I11</f>
        <v>2.3</v>
      </c>
      <c r="J4" s="25">
        <f>0/37*J11</f>
        <v>0</v>
      </c>
      <c r="K4" s="38">
        <f>sum(C4:J6)</f>
        <v>152.7500772</v>
      </c>
      <c r="L4" s="5"/>
      <c r="M4" s="12" t="s">
        <v>16</v>
      </c>
      <c r="N4" s="17">
        <f>'集計'!C4</f>
        <v>87</v>
      </c>
    </row>
    <row r="5">
      <c r="A5" s="5"/>
      <c r="B5" s="18">
        <v>3.0</v>
      </c>
      <c r="C5" s="40"/>
      <c r="D5" s="41"/>
      <c r="E5" s="42">
        <v>0.0</v>
      </c>
      <c r="F5" s="42"/>
      <c r="G5" s="40"/>
      <c r="H5" s="24">
        <f>30/50*H11</f>
        <v>26.4</v>
      </c>
      <c r="I5" s="24">
        <f>8/20*I11</f>
        <v>9.2</v>
      </c>
      <c r="J5" s="25">
        <f>1/37*J11</f>
        <v>0.8648648649</v>
      </c>
      <c r="K5" s="40"/>
      <c r="L5" s="5"/>
      <c r="M5" s="12" t="s">
        <v>17</v>
      </c>
      <c r="N5" s="17">
        <f>'集計'!C5</f>
        <v>76</v>
      </c>
    </row>
    <row r="6">
      <c r="A6" s="5"/>
      <c r="B6" s="18" t="s">
        <v>3</v>
      </c>
      <c r="C6" s="22"/>
      <c r="D6" s="41"/>
      <c r="E6" s="42"/>
      <c r="F6" s="42"/>
      <c r="G6" s="22"/>
      <c r="H6" s="24">
        <f>0/50*H11</f>
        <v>0</v>
      </c>
      <c r="I6" s="24">
        <f>1/20*I11</f>
        <v>1.15</v>
      </c>
      <c r="J6" s="25">
        <f>9/37*J11</f>
        <v>7.783783784</v>
      </c>
      <c r="K6" s="22"/>
      <c r="L6" s="5"/>
      <c r="M6" s="12" t="s">
        <v>18</v>
      </c>
      <c r="N6" s="17">
        <f>'集計'!C6</f>
        <v>26</v>
      </c>
    </row>
    <row r="7">
      <c r="A7" s="5"/>
      <c r="B7" s="18" t="s">
        <v>4</v>
      </c>
      <c r="C7" s="11">
        <f>N13</f>
        <v>68</v>
      </c>
      <c r="D7" s="20">
        <f>K7-C7-sum(H7:J7)</f>
        <v>153.4567568</v>
      </c>
      <c r="E7" s="21"/>
      <c r="F7" s="22"/>
      <c r="G7" s="19"/>
      <c r="H7" s="24">
        <f>0/50*H11</f>
        <v>0</v>
      </c>
      <c r="I7" s="24">
        <f>2/20*I11</f>
        <v>2.3</v>
      </c>
      <c r="J7" s="25">
        <f>13/37*J11</f>
        <v>11.24324324</v>
      </c>
      <c r="K7" s="11">
        <f>N12+N13</f>
        <v>235</v>
      </c>
      <c r="L7" s="5"/>
      <c r="M7" s="12" t="s">
        <v>19</v>
      </c>
      <c r="N7" s="17">
        <f>'集計'!C7</f>
        <v>30</v>
      </c>
    </row>
    <row r="8">
      <c r="A8" s="5"/>
      <c r="B8" s="18" t="s">
        <v>5</v>
      </c>
      <c r="C8" s="24">
        <f>0/15*K8</f>
        <v>0</v>
      </c>
      <c r="D8" s="24">
        <f>2/15*K8</f>
        <v>2.533333333</v>
      </c>
      <c r="E8" s="24">
        <f>7/15*K8</f>
        <v>8.866666667</v>
      </c>
      <c r="F8" s="24">
        <f>2/15*K8</f>
        <v>2.533333333</v>
      </c>
      <c r="G8" s="24">
        <f>2/15*K8</f>
        <v>2.533333333</v>
      </c>
      <c r="H8" s="19"/>
      <c r="I8" s="24">
        <f>1/15*K8</f>
        <v>1.266666667</v>
      </c>
      <c r="J8" s="25">
        <f>1/15*K8</f>
        <v>1.266666667</v>
      </c>
      <c r="K8" s="49">
        <f>N8</f>
        <v>19</v>
      </c>
      <c r="L8" s="5"/>
      <c r="M8" s="50" t="s">
        <v>20</v>
      </c>
      <c r="N8" s="17">
        <f>'集計'!C8</f>
        <v>19</v>
      </c>
    </row>
    <row r="9">
      <c r="A9" s="5"/>
      <c r="B9" s="18" t="s">
        <v>6</v>
      </c>
      <c r="C9" s="24">
        <f>0/30*K9</f>
        <v>0</v>
      </c>
      <c r="D9" s="24">
        <f>1/30*K9</f>
        <v>2.066666667</v>
      </c>
      <c r="E9" s="24">
        <f>5/30*K9</f>
        <v>10.33333333</v>
      </c>
      <c r="F9" s="24">
        <f>3/30*K9</f>
        <v>6.2</v>
      </c>
      <c r="G9" s="24">
        <f>13/30*K9</f>
        <v>26.86666667</v>
      </c>
      <c r="H9" s="24">
        <f>7/30*K9</f>
        <v>14.46666667</v>
      </c>
      <c r="I9" s="52"/>
      <c r="J9" s="25">
        <f>1/30*K9</f>
        <v>2.066666667</v>
      </c>
      <c r="K9" s="49">
        <f>N10</f>
        <v>62</v>
      </c>
      <c r="L9" s="5"/>
      <c r="M9" s="50" t="s">
        <v>22</v>
      </c>
      <c r="N9" s="17">
        <f>'集計'!C9</f>
        <v>44</v>
      </c>
    </row>
    <row r="10">
      <c r="A10" s="5"/>
      <c r="B10" s="18" t="s">
        <v>7</v>
      </c>
      <c r="C10" s="57">
        <f>4/56*K10</f>
        <v>3.571428571</v>
      </c>
      <c r="D10" s="57">
        <f>9/56*K10</f>
        <v>8.035714286</v>
      </c>
      <c r="E10" s="57">
        <f>2/56*K10</f>
        <v>1.785714286</v>
      </c>
      <c r="F10" s="57">
        <f>7/56*K10</f>
        <v>6.25</v>
      </c>
      <c r="G10" s="57">
        <f>20/56*K10</f>
        <v>17.85714286</v>
      </c>
      <c r="H10" s="57">
        <f>12/56*K10</f>
        <v>10.71428571</v>
      </c>
      <c r="I10" s="57">
        <f>2/56*K10</f>
        <v>1.785714286</v>
      </c>
      <c r="J10" s="62"/>
      <c r="K10" s="49">
        <f>N18</f>
        <v>50</v>
      </c>
      <c r="L10" s="5"/>
      <c r="M10" s="50" t="s">
        <v>24</v>
      </c>
      <c r="N10" s="17">
        <f>'集計'!C10</f>
        <v>62</v>
      </c>
    </row>
    <row r="11">
      <c r="A11" s="5"/>
      <c r="B11" s="11" t="s">
        <v>8</v>
      </c>
      <c r="C11" s="11">
        <f>N16</f>
        <v>77</v>
      </c>
      <c r="D11" s="65">
        <f>sum(D3:F10)</f>
        <v>268.0831403</v>
      </c>
      <c r="E11" s="21"/>
      <c r="F11" s="22"/>
      <c r="G11" s="11">
        <f>N17</f>
        <v>212</v>
      </c>
      <c r="H11" s="49">
        <f>N9</f>
        <v>44</v>
      </c>
      <c r="I11" s="49">
        <f>N11</f>
        <v>23</v>
      </c>
      <c r="J11" s="49">
        <f>N19</f>
        <v>32</v>
      </c>
      <c r="K11" s="67">
        <f>D14</f>
        <v>665.7500772</v>
      </c>
      <c r="L11" s="5"/>
      <c r="M11" s="50" t="s">
        <v>25</v>
      </c>
      <c r="N11" s="17">
        <f>'集計'!C11</f>
        <v>23</v>
      </c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2" t="s">
        <v>26</v>
      </c>
      <c r="N12" s="17">
        <f>'集計'!C12</f>
        <v>167</v>
      </c>
    </row>
    <row r="13">
      <c r="A13" s="1"/>
      <c r="B13" s="2"/>
      <c r="C13" s="2"/>
      <c r="D13" s="2"/>
      <c r="E13" s="1"/>
      <c r="F13" s="2"/>
      <c r="G13" s="2"/>
      <c r="H13" s="2"/>
      <c r="I13" s="2"/>
      <c r="J13" s="2"/>
      <c r="K13" s="1"/>
      <c r="L13" s="5"/>
      <c r="M13" s="12" t="s">
        <v>27</v>
      </c>
      <c r="N13" s="17">
        <f>'集計'!C13</f>
        <v>68</v>
      </c>
    </row>
    <row r="14">
      <c r="A14" s="5"/>
      <c r="B14" s="70" t="s">
        <v>38</v>
      </c>
      <c r="C14" s="5"/>
      <c r="D14" s="71">
        <f>sum(K3:K10)</f>
        <v>665.7500772</v>
      </c>
      <c r="E14" s="5"/>
      <c r="F14" s="74" t="s">
        <v>39</v>
      </c>
      <c r="H14" s="40"/>
      <c r="I14" s="75">
        <f>sum(C3:F6)/D14</f>
        <v>0.1073228461</v>
      </c>
      <c r="J14" s="76">
        <f t="shared" ref="J14:J19" si="1">$D$14*I14</f>
        <v>71.45019305</v>
      </c>
      <c r="K14" s="1"/>
      <c r="L14" s="5"/>
      <c r="M14" s="12" t="s">
        <v>28</v>
      </c>
      <c r="N14" s="17">
        <f>'集計'!C14</f>
        <v>248</v>
      </c>
    </row>
    <row r="15">
      <c r="A15" s="5"/>
      <c r="B15" s="2"/>
      <c r="C15" s="78"/>
      <c r="D15" s="78"/>
      <c r="E15" s="80"/>
      <c r="F15" s="82" t="s">
        <v>45</v>
      </c>
      <c r="G15" s="21"/>
      <c r="H15" s="22"/>
      <c r="I15" s="84">
        <f>sum(G7:J10)/D14</f>
        <v>0.1387413324</v>
      </c>
      <c r="J15" s="76">
        <f t="shared" si="1"/>
        <v>92.36705277</v>
      </c>
      <c r="K15" s="1"/>
      <c r="L15" s="5"/>
      <c r="M15" s="12" t="s">
        <v>29</v>
      </c>
      <c r="N15" s="17">
        <f>'集計'!C15</f>
        <v>155</v>
      </c>
    </row>
    <row r="16">
      <c r="A16" s="5"/>
      <c r="B16" s="86" t="s">
        <v>41</v>
      </c>
      <c r="C16" s="5"/>
      <c r="D16" s="77">
        <f>(N12+N13+N15-N16)/(N12+N13+N15)</f>
        <v>0.8025641026</v>
      </c>
      <c r="E16" s="88"/>
      <c r="F16" s="82" t="s">
        <v>46</v>
      </c>
      <c r="G16" s="21"/>
      <c r="H16" s="22"/>
      <c r="I16" s="84">
        <f>I14+I15</f>
        <v>0.2460641785</v>
      </c>
      <c r="J16" s="76">
        <f t="shared" si="1"/>
        <v>163.8172458</v>
      </c>
      <c r="K16" s="1"/>
      <c r="L16" s="5"/>
      <c r="M16" s="12" t="s">
        <v>30</v>
      </c>
      <c r="N16" s="17">
        <f>'集計'!C16</f>
        <v>77</v>
      </c>
    </row>
    <row r="17">
      <c r="A17" s="5"/>
      <c r="B17" s="86" t="s">
        <v>42</v>
      </c>
      <c r="C17" s="5"/>
      <c r="D17" s="77"/>
      <c r="E17" s="5"/>
      <c r="F17" s="74" t="s">
        <v>47</v>
      </c>
      <c r="H17" s="40"/>
      <c r="I17" s="75">
        <f>sum(C7:F10)/D14</f>
        <v>0.4110145182</v>
      </c>
      <c r="J17" s="76">
        <f t="shared" si="1"/>
        <v>273.6329472</v>
      </c>
      <c r="K17" s="1"/>
      <c r="L17" s="5"/>
      <c r="M17" s="12" t="s">
        <v>31</v>
      </c>
      <c r="N17" s="17">
        <f>'集計'!C17</f>
        <v>212</v>
      </c>
    </row>
    <row r="18">
      <c r="A18" s="5"/>
      <c r="B18" s="90" t="s">
        <v>43</v>
      </c>
      <c r="C18" s="78"/>
      <c r="D18" s="91"/>
      <c r="E18" s="5"/>
      <c r="F18" s="82" t="s">
        <v>49</v>
      </c>
      <c r="G18" s="21"/>
      <c r="H18" s="22"/>
      <c r="I18" s="84">
        <f>sum(G3:J6)/D14</f>
        <v>0.3429213033</v>
      </c>
      <c r="J18" s="76">
        <f t="shared" si="1"/>
        <v>228.2998842</v>
      </c>
      <c r="K18" s="1"/>
      <c r="L18" s="5"/>
      <c r="M18" s="93" t="s">
        <v>32</v>
      </c>
      <c r="N18" s="17">
        <f>'集計'!C18</f>
        <v>50</v>
      </c>
    </row>
    <row r="19">
      <c r="A19" s="5"/>
      <c r="B19" s="90" t="s">
        <v>44</v>
      </c>
      <c r="C19" s="78"/>
      <c r="D19" s="94"/>
      <c r="E19" s="5"/>
      <c r="F19" s="90" t="s">
        <v>50</v>
      </c>
      <c r="G19" s="95"/>
      <c r="H19" s="78"/>
      <c r="I19" s="84">
        <f>I17+I18</f>
        <v>0.7539358215</v>
      </c>
      <c r="J19" s="76">
        <f t="shared" si="1"/>
        <v>501.9328314</v>
      </c>
      <c r="K19">
        <f>(sum(G24:G27)+sum(C28:F28))/J19</f>
        <v>0.7694248906</v>
      </c>
      <c r="L19" s="5"/>
      <c r="M19" s="93" t="s">
        <v>33</v>
      </c>
      <c r="N19" s="17">
        <f>'集計'!C19</f>
        <v>32</v>
      </c>
    </row>
    <row r="20">
      <c r="A20" s="1"/>
      <c r="B20" s="1"/>
      <c r="C20" s="1"/>
      <c r="D20" s="1"/>
      <c r="E20" s="5"/>
      <c r="F20" s="90" t="s">
        <v>51</v>
      </c>
      <c r="G20" s="95"/>
      <c r="H20" s="78"/>
      <c r="I20" s="76">
        <f>D14*(I17-I18)</f>
        <v>45.33306306</v>
      </c>
      <c r="J20" s="78"/>
      <c r="K20" s="1"/>
      <c r="L20" s="5"/>
      <c r="M20" s="12" t="s">
        <v>34</v>
      </c>
      <c r="N20" s="17">
        <f>'集計'!C20</f>
        <v>119</v>
      </c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2" t="s">
        <v>35</v>
      </c>
      <c r="N21" s="17">
        <f>'集計'!C21</f>
        <v>38</v>
      </c>
    </row>
    <row r="22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5"/>
      <c r="M22" s="98" t="s">
        <v>52</v>
      </c>
      <c r="N22" s="101" t="str">
        <f>'集計'!C22</f>
        <v/>
      </c>
    </row>
    <row r="23">
      <c r="A23" s="5"/>
      <c r="B23" s="11">
        <v>1125.0</v>
      </c>
      <c r="C23" s="10">
        <v>2.0</v>
      </c>
      <c r="D23" s="10">
        <v>3.0</v>
      </c>
      <c r="E23" s="100" t="s">
        <v>3</v>
      </c>
      <c r="F23" s="100">
        <v>1.0</v>
      </c>
      <c r="G23" s="100" t="s">
        <v>4</v>
      </c>
      <c r="H23" s="100" t="s">
        <v>54</v>
      </c>
      <c r="I23" s="102" t="s">
        <v>8</v>
      </c>
      <c r="J23" s="1"/>
      <c r="K23" s="1"/>
      <c r="L23" s="1"/>
      <c r="M23" s="2"/>
      <c r="N23" s="103"/>
    </row>
    <row r="24">
      <c r="A24" s="5"/>
      <c r="B24" s="18">
        <v>2.0</v>
      </c>
      <c r="C24" s="105">
        <v>0.0</v>
      </c>
      <c r="E24" s="106"/>
      <c r="F24" s="107">
        <f t="shared" ref="F24:G24" si="2">F30-sum(F27:F29)</f>
        <v>5.428571429</v>
      </c>
      <c r="G24" s="107">
        <f t="shared" si="2"/>
        <v>98.74285714</v>
      </c>
      <c r="H24" s="108">
        <f t="shared" ref="H24:H26" si="3">sum(H4:J4)</f>
        <v>3.18</v>
      </c>
      <c r="I24" s="109">
        <f>sum(C24:H26)</f>
        <v>152.7500772</v>
      </c>
      <c r="J24" s="1"/>
      <c r="K24" s="1"/>
      <c r="L24" s="5"/>
      <c r="M24" s="12" t="s">
        <v>55</v>
      </c>
      <c r="N24" s="17">
        <f>'集計'!C40</f>
        <v>281</v>
      </c>
    </row>
    <row r="25">
      <c r="A25" s="5"/>
      <c r="B25" s="18">
        <v>3.0</v>
      </c>
      <c r="E25" s="106"/>
      <c r="F25" s="40"/>
      <c r="G25" s="40"/>
      <c r="H25" s="108">
        <f t="shared" si="3"/>
        <v>36.46486486</v>
      </c>
      <c r="I25" s="40"/>
      <c r="J25" s="1"/>
      <c r="K25" s="1"/>
      <c r="L25" s="5"/>
      <c r="M25" s="12" t="s">
        <v>56</v>
      </c>
      <c r="N25" s="17">
        <f>'集計'!C41</f>
        <v>163</v>
      </c>
    </row>
    <row r="26">
      <c r="A26" s="5"/>
      <c r="B26" s="18" t="s">
        <v>3</v>
      </c>
      <c r="C26" s="110"/>
      <c r="D26" s="110"/>
      <c r="E26" s="111"/>
      <c r="F26" s="112"/>
      <c r="G26" s="112"/>
      <c r="H26" s="108">
        <f t="shared" si="3"/>
        <v>8.933783784</v>
      </c>
      <c r="I26" s="22"/>
      <c r="J26" s="1"/>
      <c r="K26" s="1"/>
      <c r="L26" s="5"/>
      <c r="M26" s="12" t="s">
        <v>57</v>
      </c>
      <c r="N26" s="17">
        <f>'集計'!C42</f>
        <v>56</v>
      </c>
    </row>
    <row r="27">
      <c r="A27" s="5"/>
      <c r="B27" s="113">
        <v>1.0</v>
      </c>
      <c r="C27" s="115">
        <f t="shared" ref="C27:C28" si="4">I27-sum(F27:H27)</f>
        <v>66.02162162</v>
      </c>
      <c r="D27" s="21"/>
      <c r="E27" s="117"/>
      <c r="F27" s="19"/>
      <c r="G27" s="102">
        <f>(N17-(N15-(N16-N13)))</f>
        <v>66</v>
      </c>
      <c r="H27" s="108">
        <f>sum(H3:J3)</f>
        <v>14.97837838</v>
      </c>
      <c r="I27" s="102">
        <f>(N14-N12)+(N17-(N15-(N16-N13)))</f>
        <v>147</v>
      </c>
      <c r="J27" s="1"/>
      <c r="K27" s="1"/>
      <c r="L27" s="5"/>
      <c r="M27" s="12" t="s">
        <v>58</v>
      </c>
      <c r="N27" s="17">
        <f>'集計'!C43</f>
        <v>63</v>
      </c>
    </row>
    <row r="28">
      <c r="A28" s="5"/>
      <c r="B28" s="113" t="s">
        <v>4</v>
      </c>
      <c r="C28" s="115">
        <f t="shared" si="4"/>
        <v>153.4567568</v>
      </c>
      <c r="D28" s="21"/>
      <c r="E28" s="117"/>
      <c r="F28" s="102">
        <f>N13</f>
        <v>68</v>
      </c>
      <c r="G28" s="19"/>
      <c r="H28" s="108">
        <f>sum(H7:J7)</f>
        <v>13.54324324</v>
      </c>
      <c r="I28" s="102">
        <f>N12+N13</f>
        <v>235</v>
      </c>
      <c r="J28" s="1"/>
      <c r="K28" s="1"/>
      <c r="L28" s="5"/>
      <c r="M28" s="12" t="s">
        <v>59</v>
      </c>
      <c r="N28" s="17">
        <f>'集計'!C44</f>
        <v>85</v>
      </c>
    </row>
    <row r="29">
      <c r="A29" s="5"/>
      <c r="B29" s="113" t="s">
        <v>54</v>
      </c>
      <c r="C29" s="121">
        <f t="shared" ref="C29:E29" si="5">sum(D8:D10)</f>
        <v>12.63571429</v>
      </c>
      <c r="D29" s="121">
        <f t="shared" si="5"/>
        <v>20.98571429</v>
      </c>
      <c r="E29" s="121">
        <f t="shared" si="5"/>
        <v>14.98333333</v>
      </c>
      <c r="F29" s="121">
        <f>sum(C8:C10)</f>
        <v>3.571428571</v>
      </c>
      <c r="G29" s="121">
        <f>sum(G8:G10)</f>
        <v>47.25714286</v>
      </c>
      <c r="H29" s="122">
        <f>sum(H8:J10)</f>
        <v>31.56666667</v>
      </c>
      <c r="I29" s="123">
        <f>sum(C29:H29)</f>
        <v>131</v>
      </c>
      <c r="J29" s="1"/>
      <c r="K29" s="1"/>
      <c r="L29" s="5"/>
      <c r="M29" s="12" t="s">
        <v>60</v>
      </c>
      <c r="N29" s="17">
        <f>'集計'!C45</f>
        <v>82</v>
      </c>
    </row>
    <row r="30">
      <c r="A30" s="5"/>
      <c r="B30" s="102" t="s">
        <v>8</v>
      </c>
      <c r="C30" s="124">
        <f>sum(C24:E29)</f>
        <v>268.0831403</v>
      </c>
      <c r="D30" s="21"/>
      <c r="E30" s="22"/>
      <c r="F30" s="78">
        <f>N16</f>
        <v>77</v>
      </c>
      <c r="G30" s="78">
        <f>N17</f>
        <v>212</v>
      </c>
      <c r="H30" s="67">
        <f>sum(H24:H29)</f>
        <v>108.6669369</v>
      </c>
      <c r="I30" s="78"/>
      <c r="J30" s="1"/>
      <c r="K30" s="1"/>
      <c r="L30" s="5"/>
      <c r="M30" s="12" t="s">
        <v>61</v>
      </c>
      <c r="N30" s="17">
        <f>'集計'!C46</f>
        <v>403</v>
      </c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12" t="s">
        <v>62</v>
      </c>
      <c r="N31" s="17">
        <f>'集計'!C47</f>
        <v>447</v>
      </c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98" t="s">
        <v>63</v>
      </c>
      <c r="N32" s="101">
        <f>'集計'!C48</f>
        <v>157</v>
      </c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F15:H15"/>
    <mergeCell ref="F16:H16"/>
    <mergeCell ref="F17:H17"/>
    <mergeCell ref="F18:H18"/>
    <mergeCell ref="C4:C6"/>
    <mergeCell ref="G4:G6"/>
    <mergeCell ref="K4:K6"/>
    <mergeCell ref="D3:F3"/>
    <mergeCell ref="D7:F7"/>
    <mergeCell ref="F14:H14"/>
    <mergeCell ref="D11:F1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6.56"/>
    <col customWidth="1" min="3" max="3" width="5.44"/>
    <col customWidth="1" min="4" max="4" width="8.11"/>
    <col customWidth="1" min="5" max="5" width="6.22"/>
    <col customWidth="1" min="6" max="6" width="9.33"/>
    <col customWidth="1" min="7" max="8" width="4.44"/>
    <col customWidth="1" min="9" max="10" width="8.11"/>
    <col customWidth="1" min="11" max="11" width="5.22"/>
    <col customWidth="1" min="12" max="12" width="4.33"/>
    <col customWidth="1" min="13" max="13" width="20.89"/>
  </cols>
  <sheetData>
    <row r="1">
      <c r="A1" s="1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5"/>
      <c r="M1" s="6" t="s">
        <v>0</v>
      </c>
      <c r="N1" s="126">
        <v>1200.0</v>
      </c>
    </row>
    <row r="2">
      <c r="A2" s="5"/>
      <c r="B2" s="9" t="s">
        <v>2</v>
      </c>
      <c r="C2" s="10">
        <v>1.0</v>
      </c>
      <c r="D2" s="10">
        <v>2.0</v>
      </c>
      <c r="E2" s="10">
        <v>3.0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8</v>
      </c>
      <c r="L2" s="5"/>
      <c r="M2" s="12" t="s">
        <v>9</v>
      </c>
      <c r="N2" s="48">
        <f>'集計'!D2</f>
        <v>103</v>
      </c>
    </row>
    <row r="3">
      <c r="A3" s="5" t="s">
        <v>10</v>
      </c>
      <c r="B3" s="18">
        <v>1.0</v>
      </c>
      <c r="C3" s="19"/>
      <c r="D3" s="20">
        <f>K3-sum(G3:J3)</f>
        <v>22.75891341</v>
      </c>
      <c r="E3" s="21"/>
      <c r="F3" s="22"/>
      <c r="G3" s="23">
        <f>(N17-(N15-(N16-N13)))</f>
        <v>0</v>
      </c>
      <c r="H3" s="24">
        <f>0/13*H11</f>
        <v>0</v>
      </c>
      <c r="I3" s="24">
        <f>2/19*I11</f>
        <v>1.789473684</v>
      </c>
      <c r="J3" s="25">
        <f>7/31*J11</f>
        <v>7.451612903</v>
      </c>
      <c r="K3" s="11">
        <f>(N14-N12)+(N17-(N15-(N16-N13)))</f>
        <v>32</v>
      </c>
      <c r="L3" s="5"/>
      <c r="M3" s="12" t="s">
        <v>11</v>
      </c>
      <c r="N3" s="48">
        <f>'集計'!D3</f>
        <v>110</v>
      </c>
    </row>
    <row r="4">
      <c r="A4" s="5"/>
      <c r="B4" s="18">
        <v>2.0</v>
      </c>
      <c r="C4" s="29">
        <f>C11-sum(C7:C10)</f>
        <v>54.63428571</v>
      </c>
      <c r="D4" s="31"/>
      <c r="E4" s="33"/>
      <c r="F4" s="33"/>
      <c r="G4" s="36">
        <f>G11-G3-sum(G8:G10)</f>
        <v>79.94</v>
      </c>
      <c r="H4" s="24">
        <f>2/13*H11</f>
        <v>2.153846154</v>
      </c>
      <c r="I4" s="24">
        <f>2/19*I11</f>
        <v>1.789473684</v>
      </c>
      <c r="J4" s="25">
        <f>4/31*J11</f>
        <v>4.258064516</v>
      </c>
      <c r="K4" s="38">
        <f>sum(C4:J6)</f>
        <v>162.0572425</v>
      </c>
      <c r="L4" s="5"/>
      <c r="M4" s="12" t="s">
        <v>16</v>
      </c>
      <c r="N4" s="48">
        <f>'集計'!D4</f>
        <v>27</v>
      </c>
    </row>
    <row r="5">
      <c r="A5" s="5"/>
      <c r="B5" s="18">
        <v>3.0</v>
      </c>
      <c r="C5" s="40"/>
      <c r="D5" s="41"/>
      <c r="E5" s="42">
        <v>0.0</v>
      </c>
      <c r="F5" s="42"/>
      <c r="G5" s="40"/>
      <c r="H5" s="24">
        <f>6/13*H11</f>
        <v>6.461538462</v>
      </c>
      <c r="I5" s="24">
        <f>5/19*I11</f>
        <v>4.473684211</v>
      </c>
      <c r="J5" s="25">
        <f>5/31*J11</f>
        <v>5.322580645</v>
      </c>
      <c r="K5" s="40"/>
      <c r="L5" s="5"/>
      <c r="M5" s="12" t="s">
        <v>17</v>
      </c>
      <c r="N5" s="48">
        <f>'集計'!D5</f>
        <v>58</v>
      </c>
    </row>
    <row r="6">
      <c r="A6" s="5"/>
      <c r="B6" s="18" t="s">
        <v>3</v>
      </c>
      <c r="C6" s="22"/>
      <c r="D6" s="41"/>
      <c r="E6" s="42"/>
      <c r="F6" s="42"/>
      <c r="G6" s="22"/>
      <c r="H6" s="24">
        <f>0/13*H11</f>
        <v>0</v>
      </c>
      <c r="I6" s="24">
        <f>1/19*I11</f>
        <v>0.8947368421</v>
      </c>
      <c r="J6" s="25">
        <f>2/31*J11</f>
        <v>2.129032258</v>
      </c>
      <c r="K6" s="22"/>
      <c r="L6" s="5"/>
      <c r="M6" s="12" t="s">
        <v>18</v>
      </c>
      <c r="N6" s="48">
        <f>'集計'!D6</f>
        <v>51</v>
      </c>
    </row>
    <row r="7">
      <c r="A7" s="5"/>
      <c r="B7" s="18" t="s">
        <v>4</v>
      </c>
      <c r="C7" s="11">
        <f>N13</f>
        <v>103</v>
      </c>
      <c r="D7" s="20">
        <f>K7-C7-sum(H7:J7)</f>
        <v>146.2682513</v>
      </c>
      <c r="E7" s="21"/>
      <c r="F7" s="22"/>
      <c r="G7" s="19"/>
      <c r="H7" s="24">
        <f>0/13*H11</f>
        <v>0</v>
      </c>
      <c r="I7" s="24">
        <f>5/19*I11</f>
        <v>4.473684211</v>
      </c>
      <c r="J7" s="25">
        <f>4/31*J11</f>
        <v>4.258064516</v>
      </c>
      <c r="K7" s="11">
        <f>N12+N13</f>
        <v>258</v>
      </c>
      <c r="L7" s="5"/>
      <c r="M7" s="12" t="s">
        <v>19</v>
      </c>
      <c r="N7" s="48">
        <f>'集計'!D7</f>
        <v>41</v>
      </c>
    </row>
    <row r="8">
      <c r="A8" s="5"/>
      <c r="B8" s="18" t="s">
        <v>5</v>
      </c>
      <c r="C8" s="24">
        <f>1/25*K8</f>
        <v>1.28</v>
      </c>
      <c r="D8" s="24">
        <f>4/25*K8</f>
        <v>5.12</v>
      </c>
      <c r="E8" s="24">
        <f>11/25*K8</f>
        <v>14.08</v>
      </c>
      <c r="F8" s="24">
        <f>1/25*K8</f>
        <v>1.28</v>
      </c>
      <c r="G8" s="24">
        <f>2/25*K8</f>
        <v>2.56</v>
      </c>
      <c r="H8" s="19"/>
      <c r="I8" s="24">
        <f>3/25*K8</f>
        <v>3.84</v>
      </c>
      <c r="J8" s="25">
        <f>3/25*K8</f>
        <v>3.84</v>
      </c>
      <c r="K8" s="49">
        <f>N8</f>
        <v>32</v>
      </c>
      <c r="L8" s="5"/>
      <c r="M8" s="50" t="s">
        <v>20</v>
      </c>
      <c r="N8" s="48">
        <f>'集計'!D8</f>
        <v>32</v>
      </c>
    </row>
    <row r="9">
      <c r="A9" s="5"/>
      <c r="B9" s="18" t="s">
        <v>6</v>
      </c>
      <c r="C9" s="24">
        <f>0/20*K9</f>
        <v>0</v>
      </c>
      <c r="D9" s="24">
        <f>4/20*K9</f>
        <v>4.4</v>
      </c>
      <c r="E9" s="24">
        <f>8/20*K9</f>
        <v>8.8</v>
      </c>
      <c r="F9" s="24">
        <f>0/20*K9</f>
        <v>0</v>
      </c>
      <c r="G9" s="24">
        <f>1/20*K9</f>
        <v>1.1</v>
      </c>
      <c r="H9" s="24">
        <f>1/20*K9</f>
        <v>1.1</v>
      </c>
      <c r="I9" s="52"/>
      <c r="J9" s="25">
        <f>6/20*K9</f>
        <v>6.6</v>
      </c>
      <c r="K9" s="49">
        <f>N10</f>
        <v>22</v>
      </c>
      <c r="L9" s="5"/>
      <c r="M9" s="50" t="s">
        <v>22</v>
      </c>
      <c r="N9" s="48">
        <f>'集計'!D9</f>
        <v>14</v>
      </c>
    </row>
    <row r="10">
      <c r="A10" s="5"/>
      <c r="B10" s="18" t="s">
        <v>7</v>
      </c>
      <c r="C10" s="57">
        <f>8/35*K10</f>
        <v>7.085714286</v>
      </c>
      <c r="D10" s="57">
        <f>3/35*K10</f>
        <v>2.657142857</v>
      </c>
      <c r="E10" s="57">
        <f>0/35*K10</f>
        <v>0</v>
      </c>
      <c r="F10" s="57">
        <f>5/35*K10</f>
        <v>4.428571429</v>
      </c>
      <c r="G10" s="57">
        <f>14/35*K10</f>
        <v>12.4</v>
      </c>
      <c r="H10" s="57">
        <f>4/35*K10</f>
        <v>3.542857143</v>
      </c>
      <c r="I10" s="57">
        <f>1/35*K10</f>
        <v>0.8857142857</v>
      </c>
      <c r="J10" s="62"/>
      <c r="K10" s="49">
        <f>N18</f>
        <v>31</v>
      </c>
      <c r="L10" s="5"/>
      <c r="M10" s="50" t="s">
        <v>24</v>
      </c>
      <c r="N10" s="48">
        <f>'集計'!D10</f>
        <v>22</v>
      </c>
    </row>
    <row r="11">
      <c r="A11" s="5"/>
      <c r="B11" s="11" t="s">
        <v>8</v>
      </c>
      <c r="C11" s="11">
        <f>N16</f>
        <v>166</v>
      </c>
      <c r="D11" s="65">
        <f>sum(D3:F10)</f>
        <v>209.792879</v>
      </c>
      <c r="E11" s="21"/>
      <c r="F11" s="22"/>
      <c r="G11" s="11">
        <f>N17</f>
        <v>96</v>
      </c>
      <c r="H11" s="49">
        <f>N9</f>
        <v>14</v>
      </c>
      <c r="I11" s="49">
        <f>N11</f>
        <v>17</v>
      </c>
      <c r="J11" s="49">
        <f>N19</f>
        <v>33</v>
      </c>
      <c r="K11" s="67">
        <f>D14</f>
        <v>537.0572425</v>
      </c>
      <c r="L11" s="5"/>
      <c r="M11" s="50" t="s">
        <v>25</v>
      </c>
      <c r="N11" s="48">
        <f>'集計'!D11</f>
        <v>17</v>
      </c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2" t="s">
        <v>26</v>
      </c>
      <c r="N12" s="48">
        <f>'集計'!D12</f>
        <v>155</v>
      </c>
    </row>
    <row r="13">
      <c r="A13" s="1"/>
      <c r="B13" s="2"/>
      <c r="C13" s="2"/>
      <c r="D13" s="2"/>
      <c r="E13" s="1"/>
      <c r="F13" s="2"/>
      <c r="G13" s="2"/>
      <c r="H13" s="2"/>
      <c r="I13" s="2"/>
      <c r="J13" s="2"/>
      <c r="K13" s="1"/>
      <c r="L13" s="5"/>
      <c r="M13" s="12" t="s">
        <v>27</v>
      </c>
      <c r="N13" s="48">
        <f>'集計'!D13</f>
        <v>103</v>
      </c>
    </row>
    <row r="14">
      <c r="A14" s="5"/>
      <c r="B14" s="70" t="s">
        <v>38</v>
      </c>
      <c r="C14" s="5"/>
      <c r="D14" s="71">
        <f>sum(K3:K10)</f>
        <v>537.0572425</v>
      </c>
      <c r="E14" s="5"/>
      <c r="F14" s="74" t="s">
        <v>39</v>
      </c>
      <c r="H14" s="40"/>
      <c r="I14" s="75">
        <f>sum(C3:F6)/D14</f>
        <v>0.1441060524</v>
      </c>
      <c r="J14" s="76">
        <f t="shared" ref="J14:J19" si="1">$D$14*I14</f>
        <v>77.39319913</v>
      </c>
      <c r="K14" s="1"/>
      <c r="L14" s="5"/>
      <c r="M14" s="12" t="s">
        <v>28</v>
      </c>
      <c r="N14" s="48">
        <f>'集計'!D14</f>
        <v>187</v>
      </c>
    </row>
    <row r="15">
      <c r="A15" s="5"/>
      <c r="B15" s="2"/>
      <c r="C15" s="78"/>
      <c r="D15" s="78"/>
      <c r="E15" s="80"/>
      <c r="F15" s="82" t="s">
        <v>45</v>
      </c>
      <c r="G15" s="21"/>
      <c r="H15" s="22"/>
      <c r="I15" s="84">
        <f>sum(G7:J10)/D14</f>
        <v>0.08304574751</v>
      </c>
      <c r="J15" s="76">
        <f t="shared" si="1"/>
        <v>44.60032016</v>
      </c>
      <c r="K15" s="1"/>
      <c r="L15" s="5"/>
      <c r="M15" s="12" t="s">
        <v>29</v>
      </c>
      <c r="N15" s="48">
        <f>'集計'!D15</f>
        <v>159</v>
      </c>
    </row>
    <row r="16">
      <c r="A16" s="5"/>
      <c r="B16" s="86" t="s">
        <v>41</v>
      </c>
      <c r="C16" s="5"/>
      <c r="D16" s="77">
        <f>(N12+N13+N15-N16)/(N12+N13+N15)</f>
        <v>0.6019184652</v>
      </c>
      <c r="E16" s="88"/>
      <c r="F16" s="82" t="s">
        <v>46</v>
      </c>
      <c r="G16" s="21"/>
      <c r="H16" s="22"/>
      <c r="I16" s="84">
        <f>I14+I15</f>
        <v>0.2271517999</v>
      </c>
      <c r="J16" s="76">
        <f t="shared" si="1"/>
        <v>121.9935193</v>
      </c>
      <c r="K16" s="1"/>
      <c r="L16" s="5"/>
      <c r="M16" s="12" t="s">
        <v>30</v>
      </c>
      <c r="N16" s="48">
        <f>'集計'!D16+22</f>
        <v>166</v>
      </c>
    </row>
    <row r="17">
      <c r="A17" s="5"/>
      <c r="B17" s="86" t="s">
        <v>42</v>
      </c>
      <c r="C17" s="5"/>
      <c r="D17" s="77"/>
      <c r="E17" s="5"/>
      <c r="F17" s="74" t="s">
        <v>47</v>
      </c>
      <c r="H17" s="40"/>
      <c r="I17" s="75">
        <f>sum(C7:F10)/D14</f>
        <v>0.5556198786</v>
      </c>
      <c r="J17" s="76">
        <f t="shared" si="1"/>
        <v>298.3996798</v>
      </c>
      <c r="K17" s="1"/>
      <c r="L17" s="5"/>
      <c r="M17" s="12" t="s">
        <v>31</v>
      </c>
      <c r="N17" s="48">
        <f>'集計'!D17</f>
        <v>96</v>
      </c>
    </row>
    <row r="18">
      <c r="A18" s="5"/>
      <c r="B18" s="90" t="s">
        <v>43</v>
      </c>
      <c r="C18" s="78"/>
      <c r="D18" s="91"/>
      <c r="E18" s="5"/>
      <c r="F18" s="82" t="s">
        <v>49</v>
      </c>
      <c r="G18" s="21"/>
      <c r="H18" s="22"/>
      <c r="I18" s="84">
        <f>sum(G3:J6)/D14</f>
        <v>0.2172283215</v>
      </c>
      <c r="J18" s="76">
        <f t="shared" si="1"/>
        <v>116.6640434</v>
      </c>
      <c r="K18" s="1"/>
      <c r="L18" s="5"/>
      <c r="M18" s="93" t="s">
        <v>32</v>
      </c>
      <c r="N18" s="48">
        <f>'集計'!D18</f>
        <v>31</v>
      </c>
    </row>
    <row r="19">
      <c r="A19" s="5"/>
      <c r="B19" s="90" t="s">
        <v>44</v>
      </c>
      <c r="C19" s="78"/>
      <c r="D19" s="94"/>
      <c r="E19" s="5"/>
      <c r="F19" s="90" t="s">
        <v>50</v>
      </c>
      <c r="G19" s="95"/>
      <c r="H19" s="78"/>
      <c r="I19" s="84">
        <f>I17+I18</f>
        <v>0.7728482001</v>
      </c>
      <c r="J19" s="76">
        <f t="shared" si="1"/>
        <v>415.0637232</v>
      </c>
      <c r="K19">
        <f>(sum(G24:G27)+sum(C28:F28))/J19</f>
        <v>0.7931511064</v>
      </c>
      <c r="L19" s="5"/>
      <c r="M19" s="93" t="s">
        <v>33</v>
      </c>
      <c r="N19" s="48">
        <f>'集計'!D19</f>
        <v>33</v>
      </c>
    </row>
    <row r="20">
      <c r="A20" s="1"/>
      <c r="B20" s="1"/>
      <c r="C20" s="1"/>
      <c r="D20" s="1"/>
      <c r="E20" s="5"/>
      <c r="F20" s="90" t="s">
        <v>51</v>
      </c>
      <c r="G20" s="95"/>
      <c r="H20" s="78"/>
      <c r="I20" s="76">
        <f>D14*(I17-I18)</f>
        <v>181.7356365</v>
      </c>
      <c r="J20" s="78"/>
      <c r="K20" s="1"/>
      <c r="L20" s="5"/>
      <c r="M20" s="12" t="s">
        <v>34</v>
      </c>
      <c r="N20" s="48">
        <f>'集計'!D20</f>
        <v>93</v>
      </c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2" t="s">
        <v>35</v>
      </c>
      <c r="N21" s="48">
        <f>'集計'!D21</f>
        <v>46</v>
      </c>
    </row>
    <row r="22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5"/>
      <c r="M22" s="98" t="s">
        <v>52</v>
      </c>
      <c r="N22" s="127" t="str">
        <f>'集計'!D22</f>
        <v/>
      </c>
    </row>
    <row r="23">
      <c r="A23" s="5"/>
      <c r="B23" s="11">
        <v>1200.0</v>
      </c>
      <c r="C23" s="10">
        <v>2.0</v>
      </c>
      <c r="D23" s="10">
        <v>3.0</v>
      </c>
      <c r="E23" s="100" t="s">
        <v>3</v>
      </c>
      <c r="F23" s="100">
        <v>1.0</v>
      </c>
      <c r="G23" s="100" t="s">
        <v>4</v>
      </c>
      <c r="H23" s="100" t="s">
        <v>54</v>
      </c>
      <c r="I23" s="102" t="s">
        <v>8</v>
      </c>
      <c r="J23" s="1"/>
      <c r="K23" s="1"/>
      <c r="L23" s="1"/>
      <c r="M23" s="2"/>
      <c r="N23" s="128"/>
    </row>
    <row r="24">
      <c r="A24" s="5"/>
      <c r="B24" s="18">
        <v>2.0</v>
      </c>
      <c r="C24" s="105">
        <v>0.0</v>
      </c>
      <c r="E24" s="106"/>
      <c r="F24" s="107">
        <f t="shared" ref="F24:G24" si="2">F30-sum(F27:F29)</f>
        <v>54.63428571</v>
      </c>
      <c r="G24" s="107">
        <f t="shared" si="2"/>
        <v>79.94</v>
      </c>
      <c r="H24" s="108">
        <f t="shared" ref="H24:H26" si="3">sum(H4:J4)</f>
        <v>8.201384354</v>
      </c>
      <c r="I24" s="109">
        <f>sum(C24:H26)</f>
        <v>162.0572425</v>
      </c>
      <c r="J24" s="1"/>
      <c r="K24" s="1"/>
      <c r="L24" s="5"/>
      <c r="M24" s="12" t="s">
        <v>55</v>
      </c>
      <c r="N24" s="48">
        <f>'集計'!D40</f>
        <v>213</v>
      </c>
    </row>
    <row r="25">
      <c r="A25" s="5"/>
      <c r="B25" s="18">
        <v>3.0</v>
      </c>
      <c r="E25" s="106"/>
      <c r="F25" s="40"/>
      <c r="G25" s="40"/>
      <c r="H25" s="108">
        <f t="shared" si="3"/>
        <v>16.25780332</v>
      </c>
      <c r="I25" s="40"/>
      <c r="J25" s="1"/>
      <c r="K25" s="1"/>
      <c r="L25" s="5"/>
      <c r="M25" s="12" t="s">
        <v>56</v>
      </c>
      <c r="N25" s="48">
        <f>'集計'!D41</f>
        <v>85</v>
      </c>
    </row>
    <row r="26">
      <c r="A26" s="5"/>
      <c r="B26" s="18" t="s">
        <v>3</v>
      </c>
      <c r="C26" s="110"/>
      <c r="D26" s="110"/>
      <c r="E26" s="111"/>
      <c r="F26" s="112"/>
      <c r="G26" s="112"/>
      <c r="H26" s="108">
        <f t="shared" si="3"/>
        <v>3.0237691</v>
      </c>
      <c r="I26" s="22"/>
      <c r="J26" s="1"/>
      <c r="K26" s="1"/>
      <c r="L26" s="5"/>
      <c r="M26" s="12" t="s">
        <v>57</v>
      </c>
      <c r="N26" s="48">
        <f>'集計'!D42</f>
        <v>92</v>
      </c>
    </row>
    <row r="27">
      <c r="A27" s="5"/>
      <c r="B27" s="113">
        <v>1.0</v>
      </c>
      <c r="C27" s="115">
        <f t="shared" ref="C27:C28" si="4">I27-sum(F27:H27)</f>
        <v>22.75891341</v>
      </c>
      <c r="D27" s="21"/>
      <c r="E27" s="117"/>
      <c r="F27" s="19"/>
      <c r="G27" s="131">
        <f>(N17-(N15-(N16-N13)))</f>
        <v>0</v>
      </c>
      <c r="H27" s="108">
        <f>sum(H3:J3)</f>
        <v>9.241086587</v>
      </c>
      <c r="I27" s="102">
        <f>(N14-N12)+(N17-(N15-(N16-N13)))</f>
        <v>32</v>
      </c>
      <c r="J27" s="1"/>
      <c r="K27" s="1"/>
      <c r="L27" s="5"/>
      <c r="M27" s="12" t="s">
        <v>58</v>
      </c>
      <c r="N27" s="48">
        <f>'集計'!D43</f>
        <v>46</v>
      </c>
    </row>
    <row r="28">
      <c r="A28" s="5"/>
      <c r="B28" s="113" t="s">
        <v>4</v>
      </c>
      <c r="C28" s="115">
        <f t="shared" si="4"/>
        <v>146.2682513</v>
      </c>
      <c r="D28" s="21"/>
      <c r="E28" s="117"/>
      <c r="F28" s="102">
        <f>N13</f>
        <v>103</v>
      </c>
      <c r="G28" s="19"/>
      <c r="H28" s="108">
        <f>sum(H7:J7)</f>
        <v>8.731748727</v>
      </c>
      <c r="I28" s="102">
        <f>N12+N13</f>
        <v>258</v>
      </c>
      <c r="J28" s="1"/>
      <c r="K28" s="1"/>
      <c r="L28" s="5"/>
      <c r="M28" s="12" t="s">
        <v>59</v>
      </c>
      <c r="N28" s="48">
        <f>'集計'!D44</f>
        <v>39</v>
      </c>
    </row>
    <row r="29">
      <c r="A29" s="5"/>
      <c r="B29" s="113" t="s">
        <v>54</v>
      </c>
      <c r="C29" s="121">
        <f t="shared" ref="C29:E29" si="5">sum(D8:D10)</f>
        <v>12.17714286</v>
      </c>
      <c r="D29" s="121">
        <f t="shared" si="5"/>
        <v>22.88</v>
      </c>
      <c r="E29" s="121">
        <f t="shared" si="5"/>
        <v>5.708571429</v>
      </c>
      <c r="F29" s="121">
        <f>sum(C8:C10)</f>
        <v>8.365714286</v>
      </c>
      <c r="G29" s="121">
        <f>sum(G8:G10)</f>
        <v>16.06</v>
      </c>
      <c r="H29" s="122">
        <f>sum(H8:J10)</f>
        <v>19.80857143</v>
      </c>
      <c r="I29" s="123">
        <f>sum(C29:H29)</f>
        <v>85</v>
      </c>
      <c r="J29" s="1"/>
      <c r="K29" s="1"/>
      <c r="L29" s="5"/>
      <c r="M29" s="12" t="s">
        <v>60</v>
      </c>
      <c r="N29" s="48">
        <f>'集計'!D45</f>
        <v>64</v>
      </c>
    </row>
    <row r="30">
      <c r="A30" s="5"/>
      <c r="B30" s="102" t="s">
        <v>8</v>
      </c>
      <c r="C30" s="124">
        <f>sum(C24:E29)</f>
        <v>209.792879</v>
      </c>
      <c r="D30" s="21"/>
      <c r="E30" s="22"/>
      <c r="F30" s="78">
        <f>N16</f>
        <v>166</v>
      </c>
      <c r="G30" s="78">
        <f>N17</f>
        <v>96</v>
      </c>
      <c r="H30" s="67">
        <f>sum(H24:H29)</f>
        <v>65.26436351</v>
      </c>
      <c r="I30" s="78"/>
      <c r="J30" s="1"/>
      <c r="K30" s="1"/>
      <c r="L30" s="5"/>
      <c r="M30" s="12" t="s">
        <v>61</v>
      </c>
      <c r="N30" s="48">
        <f>'集計'!D46</f>
        <v>346</v>
      </c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12" t="s">
        <v>62</v>
      </c>
      <c r="N31" s="48">
        <f>'集計'!D47</f>
        <v>354</v>
      </c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98" t="s">
        <v>63</v>
      </c>
      <c r="N32" s="127">
        <f>'集計'!D48</f>
        <v>139</v>
      </c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F15:H15"/>
    <mergeCell ref="F16:H16"/>
    <mergeCell ref="F17:H17"/>
    <mergeCell ref="F18:H18"/>
    <mergeCell ref="C4:C6"/>
    <mergeCell ref="G4:G6"/>
    <mergeCell ref="K4:K6"/>
    <mergeCell ref="D3:F3"/>
    <mergeCell ref="D7:F7"/>
    <mergeCell ref="F14:H14"/>
    <mergeCell ref="D11:F1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8.33"/>
    <col customWidth="1" min="3" max="3" width="5.44"/>
    <col customWidth="1" min="4" max="4" width="8.11"/>
    <col customWidth="1" min="5" max="5" width="6.22"/>
    <col customWidth="1" min="6" max="6" width="7.67"/>
    <col customWidth="1" min="7" max="7" width="5.33"/>
    <col customWidth="1" min="8" max="8" width="3.67"/>
    <col customWidth="1" min="9" max="10" width="8.11"/>
    <col customWidth="1" min="11" max="11" width="5.33"/>
    <col customWidth="1" min="12" max="12" width="3.78"/>
    <col customWidth="1" min="13" max="13" width="20.89"/>
  </cols>
  <sheetData>
    <row r="1">
      <c r="A1" s="1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5"/>
      <c r="M1" s="6" t="s">
        <v>0</v>
      </c>
      <c r="N1" s="129">
        <v>1500.0</v>
      </c>
    </row>
    <row r="2">
      <c r="A2" s="5"/>
      <c r="B2" s="9" t="s">
        <v>2</v>
      </c>
      <c r="C2" s="10">
        <v>1.0</v>
      </c>
      <c r="D2" s="10">
        <v>2.0</v>
      </c>
      <c r="E2" s="10">
        <v>3.0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8</v>
      </c>
      <c r="L2" s="5"/>
      <c r="M2" s="12" t="s">
        <v>9</v>
      </c>
      <c r="N2" s="32">
        <f>'集計'!E2</f>
        <v>161</v>
      </c>
    </row>
    <row r="3">
      <c r="A3" s="5" t="s">
        <v>10</v>
      </c>
      <c r="B3" s="18">
        <v>1.0</v>
      </c>
      <c r="C3" s="19"/>
      <c r="D3" s="20">
        <f>K3-sum(G3:J3)</f>
        <v>42.48913043</v>
      </c>
      <c r="E3" s="21"/>
      <c r="F3" s="22"/>
      <c r="G3" s="23">
        <f>(N17-(N15-(N16-N13)))</f>
        <v>74</v>
      </c>
      <c r="H3" s="24">
        <f>0/64*H11</f>
        <v>0</v>
      </c>
      <c r="I3" s="24">
        <f>3/20*I11</f>
        <v>3.75</v>
      </c>
      <c r="J3" s="25">
        <f>7/46*J11</f>
        <v>7.760869565</v>
      </c>
      <c r="K3" s="23">
        <f>(N14-N12)+(N17-(N15-(N16-N13)))</f>
        <v>128</v>
      </c>
      <c r="L3" s="5"/>
      <c r="M3" s="12" t="s">
        <v>11</v>
      </c>
      <c r="N3" s="32">
        <f>'集計'!E3</f>
        <v>245</v>
      </c>
    </row>
    <row r="4">
      <c r="A4" s="5"/>
      <c r="B4" s="18">
        <v>2.0</v>
      </c>
      <c r="C4" s="29">
        <f>C11-sum(C7:C10)</f>
        <v>75.76320346</v>
      </c>
      <c r="D4" s="31"/>
      <c r="E4" s="33"/>
      <c r="F4" s="33"/>
      <c r="G4" s="36">
        <f>G11-G3-sum(G8:G10)</f>
        <v>187.5441558</v>
      </c>
      <c r="H4" s="24">
        <f>11/64*H11</f>
        <v>6.53125</v>
      </c>
      <c r="I4" s="24">
        <f>4/20*I11</f>
        <v>5</v>
      </c>
      <c r="J4" s="25">
        <f>18/46*J11</f>
        <v>19.95652174</v>
      </c>
      <c r="K4" s="38">
        <f>sum(C4:J6)</f>
        <v>320.2421419</v>
      </c>
      <c r="L4" s="5"/>
      <c r="M4" s="12" t="s">
        <v>16</v>
      </c>
      <c r="N4" s="32">
        <f>'集計'!E4</f>
        <v>56</v>
      </c>
    </row>
    <row r="5">
      <c r="A5" s="5"/>
      <c r="B5" s="18">
        <v>3.0</v>
      </c>
      <c r="C5" s="40"/>
      <c r="D5" s="41"/>
      <c r="E5" s="42">
        <v>0.0</v>
      </c>
      <c r="F5" s="42"/>
      <c r="G5" s="40"/>
      <c r="H5" s="24">
        <f>5/64*H11</f>
        <v>2.96875</v>
      </c>
      <c r="I5" s="24">
        <f>7/20*I11</f>
        <v>8.75</v>
      </c>
      <c r="J5" s="25">
        <f>4/46*J11</f>
        <v>4.434782609</v>
      </c>
      <c r="K5" s="40"/>
      <c r="L5" s="5"/>
      <c r="M5" s="12" t="s">
        <v>17</v>
      </c>
      <c r="N5" s="32">
        <f>'集計'!E5</f>
        <v>83</v>
      </c>
    </row>
    <row r="6">
      <c r="A6" s="5"/>
      <c r="B6" s="18" t="s">
        <v>3</v>
      </c>
      <c r="C6" s="22"/>
      <c r="D6" s="41"/>
      <c r="E6" s="42"/>
      <c r="F6" s="42"/>
      <c r="G6" s="22"/>
      <c r="H6" s="24">
        <f>0/64*H11</f>
        <v>0</v>
      </c>
      <c r="I6" s="24">
        <f>3/20*I11</f>
        <v>3.75</v>
      </c>
      <c r="J6" s="25">
        <f>5/46*J11</f>
        <v>5.543478261</v>
      </c>
      <c r="K6" s="22"/>
      <c r="L6" s="5"/>
      <c r="M6" s="12" t="s">
        <v>18</v>
      </c>
      <c r="N6" s="32">
        <f>'集計'!E6</f>
        <v>40</v>
      </c>
    </row>
    <row r="7">
      <c r="A7" s="5"/>
      <c r="B7" s="18" t="s">
        <v>4</v>
      </c>
      <c r="C7" s="11">
        <f>N13</f>
        <v>51</v>
      </c>
      <c r="D7" s="20">
        <f>K7-C7-sum(H7:J7)</f>
        <v>164.8804348</v>
      </c>
      <c r="E7" s="21"/>
      <c r="F7" s="22"/>
      <c r="G7" s="19"/>
      <c r="H7" s="24">
        <f>0/64*H11</f>
        <v>0</v>
      </c>
      <c r="I7" s="24">
        <f>1/20*I11</f>
        <v>1.25</v>
      </c>
      <c r="J7" s="25">
        <f>8/46*J11</f>
        <v>8.869565217</v>
      </c>
      <c r="K7" s="11">
        <f>N12+N13</f>
        <v>226</v>
      </c>
      <c r="L7" s="5"/>
      <c r="M7" s="12" t="s">
        <v>19</v>
      </c>
      <c r="N7" s="32">
        <f>'集計'!E7</f>
        <v>45</v>
      </c>
    </row>
    <row r="8">
      <c r="A8" s="5"/>
      <c r="B8" s="18" t="s">
        <v>5</v>
      </c>
      <c r="C8" s="24">
        <f>1/21*K8</f>
        <v>1.80952381</v>
      </c>
      <c r="D8" s="24">
        <f>4/21*K8</f>
        <v>7.238095238</v>
      </c>
      <c r="E8" s="24">
        <f>7/21*K8</f>
        <v>12.66666667</v>
      </c>
      <c r="F8" s="24">
        <f>3/21*K8</f>
        <v>5.428571429</v>
      </c>
      <c r="G8" s="24">
        <f>3/21*K8</f>
        <v>5.428571429</v>
      </c>
      <c r="H8" s="19"/>
      <c r="I8" s="24">
        <f>1/21*K8</f>
        <v>1.80952381</v>
      </c>
      <c r="J8" s="25">
        <f>2/21*K8</f>
        <v>3.619047619</v>
      </c>
      <c r="K8" s="49">
        <f>N8</f>
        <v>38</v>
      </c>
      <c r="L8" s="5"/>
      <c r="M8" s="50" t="s">
        <v>20</v>
      </c>
      <c r="N8" s="32">
        <f>'集計'!E8</f>
        <v>38</v>
      </c>
    </row>
    <row r="9">
      <c r="A9" s="5"/>
      <c r="B9" s="18" t="s">
        <v>6</v>
      </c>
      <c r="C9" s="24">
        <f>0/20*K9</f>
        <v>0</v>
      </c>
      <c r="D9" s="24">
        <f>2/20*K9</f>
        <v>2.2</v>
      </c>
      <c r="E9" s="24">
        <f>1/20*K9</f>
        <v>1.1</v>
      </c>
      <c r="F9" s="24">
        <f>3/20*K9</f>
        <v>3.3</v>
      </c>
      <c r="G9" s="24">
        <f>8/20*K9</f>
        <v>8.8</v>
      </c>
      <c r="H9" s="24">
        <f>4/20*K9</f>
        <v>4.4</v>
      </c>
      <c r="I9" s="52"/>
      <c r="J9" s="25">
        <f>2/20*K9</f>
        <v>2.2</v>
      </c>
      <c r="K9" s="49">
        <f>N10</f>
        <v>22</v>
      </c>
      <c r="L9" s="5"/>
      <c r="M9" s="50" t="s">
        <v>22</v>
      </c>
      <c r="N9" s="32">
        <f>'集計'!E9</f>
        <v>38</v>
      </c>
    </row>
    <row r="10">
      <c r="A10" s="5"/>
      <c r="B10" s="18" t="s">
        <v>7</v>
      </c>
      <c r="C10" s="57">
        <f>1/110*K10</f>
        <v>0.4272727273</v>
      </c>
      <c r="D10" s="57">
        <f>17/110*K10</f>
        <v>7.263636364</v>
      </c>
      <c r="E10" s="57">
        <f>0/110*K10</f>
        <v>0</v>
      </c>
      <c r="F10" s="57">
        <f>2/110*K10</f>
        <v>0.8545454545</v>
      </c>
      <c r="G10" s="57">
        <f>45/110*K10</f>
        <v>19.22727273</v>
      </c>
      <c r="H10" s="57">
        <f>44/110*K10</f>
        <v>18.8</v>
      </c>
      <c r="I10" s="57">
        <f>1/110*K10</f>
        <v>0.4272727273</v>
      </c>
      <c r="J10" s="62"/>
      <c r="K10" s="49">
        <f>N18</f>
        <v>47</v>
      </c>
      <c r="L10" s="5"/>
      <c r="M10" s="50" t="s">
        <v>24</v>
      </c>
      <c r="N10" s="32">
        <f>'集計'!E10</f>
        <v>22</v>
      </c>
    </row>
    <row r="11">
      <c r="A11" s="5"/>
      <c r="B11" s="11" t="s">
        <v>8</v>
      </c>
      <c r="C11" s="11">
        <f>N16</f>
        <v>129</v>
      </c>
      <c r="D11" s="65">
        <f>sum(D3:F10)</f>
        <v>247.4210804</v>
      </c>
      <c r="E11" s="21"/>
      <c r="F11" s="22"/>
      <c r="G11" s="11">
        <f>N17</f>
        <v>295</v>
      </c>
      <c r="H11" s="49">
        <f>N9</f>
        <v>38</v>
      </c>
      <c r="I11" s="49">
        <f>N11</f>
        <v>25</v>
      </c>
      <c r="J11" s="49">
        <f>N19</f>
        <v>51</v>
      </c>
      <c r="K11" s="67">
        <f>D14</f>
        <v>781.2421419</v>
      </c>
      <c r="L11" s="5"/>
      <c r="M11" s="50" t="s">
        <v>25</v>
      </c>
      <c r="N11" s="32">
        <f>'集計'!E11</f>
        <v>25</v>
      </c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2" t="s">
        <v>26</v>
      </c>
      <c r="N12" s="32">
        <f>'集計'!E12</f>
        <v>175</v>
      </c>
    </row>
    <row r="13">
      <c r="A13" s="1"/>
      <c r="B13" s="2"/>
      <c r="C13" s="2"/>
      <c r="D13" s="2"/>
      <c r="E13" s="1"/>
      <c r="F13" s="2"/>
      <c r="G13" s="2"/>
      <c r="H13" s="2"/>
      <c r="I13" s="2"/>
      <c r="J13" s="2"/>
      <c r="K13" s="1"/>
      <c r="L13" s="5"/>
      <c r="M13" s="12" t="s">
        <v>27</v>
      </c>
      <c r="N13" s="32">
        <f>'集計'!E13</f>
        <v>51</v>
      </c>
    </row>
    <row r="14">
      <c r="A14" s="5"/>
      <c r="B14" s="70" t="s">
        <v>38</v>
      </c>
      <c r="C14" s="5"/>
      <c r="D14" s="71">
        <f>sum(K3:K10)</f>
        <v>781.2421419</v>
      </c>
      <c r="E14" s="5"/>
      <c r="F14" s="74" t="s">
        <v>39</v>
      </c>
      <c r="H14" s="40"/>
      <c r="I14" s="75">
        <f>sum(C3:F6)/D14</f>
        <v>0.1513645099</v>
      </c>
      <c r="J14" s="76">
        <f t="shared" ref="J14:J19" si="1">$D$14*I14</f>
        <v>118.2523339</v>
      </c>
      <c r="K14" s="1"/>
      <c r="L14" s="5"/>
      <c r="M14" s="12" t="s">
        <v>28</v>
      </c>
      <c r="N14" s="32">
        <f>'集計'!E14</f>
        <v>229</v>
      </c>
    </row>
    <row r="15">
      <c r="A15" s="5"/>
      <c r="B15" s="2"/>
      <c r="C15" s="78"/>
      <c r="D15" s="78"/>
      <c r="E15" s="80"/>
      <c r="F15" s="82" t="s">
        <v>45</v>
      </c>
      <c r="G15" s="21"/>
      <c r="H15" s="22"/>
      <c r="I15" s="84">
        <f>sum(G7:J10)/D14</f>
        <v>0.09578496796</v>
      </c>
      <c r="J15" s="76">
        <f t="shared" si="1"/>
        <v>74.83125353</v>
      </c>
      <c r="K15" s="1"/>
      <c r="L15" s="5"/>
      <c r="M15" s="12" t="s">
        <v>29</v>
      </c>
      <c r="N15" s="32">
        <f>'集計'!E15</f>
        <v>299</v>
      </c>
    </row>
    <row r="16">
      <c r="A16" s="5"/>
      <c r="B16" s="86" t="s">
        <v>41</v>
      </c>
      <c r="C16" s="5"/>
      <c r="D16" s="77">
        <f>(N12+N13+N15-N16)/(N12+N13+N15)</f>
        <v>0.7542857143</v>
      </c>
      <c r="E16" s="88"/>
      <c r="F16" s="82" t="s">
        <v>46</v>
      </c>
      <c r="G16" s="21"/>
      <c r="H16" s="22"/>
      <c r="I16" s="84">
        <f>I14+I15</f>
        <v>0.2471494778</v>
      </c>
      <c r="J16" s="76">
        <f t="shared" si="1"/>
        <v>193.0835874</v>
      </c>
      <c r="K16" s="1"/>
      <c r="L16" s="5"/>
      <c r="M16" s="12" t="s">
        <v>30</v>
      </c>
      <c r="N16" s="32">
        <f>'集計'!E16</f>
        <v>129</v>
      </c>
    </row>
    <row r="17">
      <c r="A17" s="5"/>
      <c r="B17" s="86" t="s">
        <v>42</v>
      </c>
      <c r="C17" s="5"/>
      <c r="D17" s="77"/>
      <c r="E17" s="5"/>
      <c r="F17" s="74" t="s">
        <v>47</v>
      </c>
      <c r="H17" s="40"/>
      <c r="I17" s="75">
        <f>sum(C7:F10)/D14</f>
        <v>0.3304593194</v>
      </c>
      <c r="J17" s="76">
        <f t="shared" si="1"/>
        <v>258.1687465</v>
      </c>
      <c r="K17" s="1"/>
      <c r="L17" s="5"/>
      <c r="M17" s="12" t="s">
        <v>31</v>
      </c>
      <c r="N17" s="32">
        <f>'集計'!E17</f>
        <v>295</v>
      </c>
    </row>
    <row r="18">
      <c r="A18" s="5"/>
      <c r="B18" s="90" t="s">
        <v>43</v>
      </c>
      <c r="C18" s="78"/>
      <c r="D18" s="91"/>
      <c r="E18" s="5"/>
      <c r="F18" s="82" t="s">
        <v>49</v>
      </c>
      <c r="G18" s="21"/>
      <c r="H18" s="22"/>
      <c r="I18" s="84">
        <f>sum(G3:J6)/D14</f>
        <v>0.4223912028</v>
      </c>
      <c r="J18" s="76">
        <f t="shared" si="1"/>
        <v>329.989808</v>
      </c>
      <c r="K18" s="1"/>
      <c r="L18" s="5"/>
      <c r="M18" s="93" t="s">
        <v>32</v>
      </c>
      <c r="N18" s="32">
        <f>'集計'!E18</f>
        <v>47</v>
      </c>
    </row>
    <row r="19">
      <c r="A19" s="5"/>
      <c r="B19" s="90" t="s">
        <v>44</v>
      </c>
      <c r="C19" s="78"/>
      <c r="D19" s="91"/>
      <c r="E19" s="5"/>
      <c r="F19" s="90" t="s">
        <v>50</v>
      </c>
      <c r="G19" s="95"/>
      <c r="H19" s="78"/>
      <c r="I19" s="84">
        <f>I17+I18</f>
        <v>0.7528505222</v>
      </c>
      <c r="J19" s="76">
        <f t="shared" si="1"/>
        <v>588.1585545</v>
      </c>
      <c r="K19">
        <f>(sum(G24:G27)+sum(C28:F28))/J19</f>
        <v>0.8117276999</v>
      </c>
      <c r="L19" s="5"/>
      <c r="M19" s="93" t="s">
        <v>33</v>
      </c>
      <c r="N19" s="32">
        <f>'集計'!E19</f>
        <v>51</v>
      </c>
    </row>
    <row r="20">
      <c r="A20" s="1"/>
      <c r="B20" s="1"/>
      <c r="C20" s="1"/>
      <c r="D20" s="1"/>
      <c r="E20" s="5"/>
      <c r="F20" s="90" t="s">
        <v>51</v>
      </c>
      <c r="G20" s="95"/>
      <c r="H20" s="78"/>
      <c r="I20" s="76">
        <f>D14*(I17-I18)</f>
        <v>-71.82106155</v>
      </c>
      <c r="J20" s="78"/>
      <c r="K20" s="1"/>
      <c r="L20" s="5"/>
      <c r="M20" s="12" t="s">
        <v>34</v>
      </c>
      <c r="N20" s="32">
        <f>'集計'!E20</f>
        <v>113</v>
      </c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2" t="s">
        <v>35</v>
      </c>
      <c r="N21" s="32">
        <f>'集計'!E21</f>
        <v>133</v>
      </c>
    </row>
    <row r="22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5"/>
      <c r="M22" s="98" t="s">
        <v>52</v>
      </c>
      <c r="N22" s="133" t="str">
        <f>'集計'!E22</f>
        <v/>
      </c>
    </row>
    <row r="23">
      <c r="A23" s="5"/>
      <c r="B23" s="11">
        <v>1500.0</v>
      </c>
      <c r="C23" s="10">
        <v>2.0</v>
      </c>
      <c r="D23" s="10">
        <v>3.0</v>
      </c>
      <c r="E23" s="100" t="s">
        <v>3</v>
      </c>
      <c r="F23" s="100">
        <v>1.0</v>
      </c>
      <c r="G23" s="100" t="s">
        <v>4</v>
      </c>
      <c r="H23" s="100" t="s">
        <v>54</v>
      </c>
      <c r="I23" s="102" t="s">
        <v>8</v>
      </c>
      <c r="J23" s="1"/>
      <c r="K23" s="1"/>
      <c r="L23" s="1"/>
      <c r="M23" s="2"/>
      <c r="N23" s="2"/>
    </row>
    <row r="24">
      <c r="A24" s="5"/>
      <c r="B24" s="18">
        <v>2.0</v>
      </c>
      <c r="C24" s="105">
        <v>0.0</v>
      </c>
      <c r="E24" s="106"/>
      <c r="F24" s="107">
        <f t="shared" ref="F24:G24" si="2">F30-sum(F27:F29)</f>
        <v>75.76320346</v>
      </c>
      <c r="G24" s="107">
        <f t="shared" si="2"/>
        <v>187.5441558</v>
      </c>
      <c r="H24" s="108">
        <f t="shared" ref="H24:H26" si="3">sum(H4:J4)</f>
        <v>31.48777174</v>
      </c>
      <c r="I24" s="109">
        <f>sum(C24:H26)</f>
        <v>320.2421419</v>
      </c>
      <c r="J24" s="1"/>
      <c r="K24" s="1"/>
      <c r="L24" s="5"/>
      <c r="M24" s="12" t="s">
        <v>55</v>
      </c>
      <c r="N24" s="32">
        <f>'集計'!E40</f>
        <v>406</v>
      </c>
    </row>
    <row r="25">
      <c r="A25" s="5"/>
      <c r="B25" s="18">
        <v>3.0</v>
      </c>
      <c r="E25" s="106"/>
      <c r="F25" s="40"/>
      <c r="G25" s="40"/>
      <c r="H25" s="108">
        <f t="shared" si="3"/>
        <v>16.15353261</v>
      </c>
      <c r="I25" s="40"/>
      <c r="J25" s="1"/>
      <c r="K25" s="1"/>
      <c r="L25" s="5"/>
      <c r="M25" s="12" t="s">
        <v>56</v>
      </c>
      <c r="N25" s="32">
        <f>'集計'!E41</f>
        <v>139</v>
      </c>
    </row>
    <row r="26">
      <c r="A26" s="5"/>
      <c r="B26" s="18" t="s">
        <v>3</v>
      </c>
      <c r="C26" s="110"/>
      <c r="D26" s="110"/>
      <c r="E26" s="111"/>
      <c r="F26" s="112"/>
      <c r="G26" s="112"/>
      <c r="H26" s="108">
        <f t="shared" si="3"/>
        <v>9.293478261</v>
      </c>
      <c r="I26" s="22"/>
      <c r="J26" s="1"/>
      <c r="K26" s="1"/>
      <c r="L26" s="5"/>
      <c r="M26" s="12" t="s">
        <v>57</v>
      </c>
      <c r="N26" s="32">
        <f>'集計'!E42</f>
        <v>85</v>
      </c>
    </row>
    <row r="27">
      <c r="A27" s="5"/>
      <c r="B27" s="113">
        <v>1.0</v>
      </c>
      <c r="C27" s="115">
        <f t="shared" ref="C27:C28" si="4">I27-sum(F27:H27)</f>
        <v>42.48913043</v>
      </c>
      <c r="D27" s="21"/>
      <c r="E27" s="117"/>
      <c r="F27" s="19"/>
      <c r="G27" s="102">
        <f>(N17-(N15-(N16-N13)))</f>
        <v>74</v>
      </c>
      <c r="H27" s="108">
        <f>sum(H3:J3)</f>
        <v>11.51086957</v>
      </c>
      <c r="I27" s="102">
        <f>(N14-N12)+(N17-(N15-(N16-N13)))</f>
        <v>128</v>
      </c>
      <c r="J27" s="1"/>
      <c r="K27" s="1"/>
      <c r="L27" s="5"/>
      <c r="M27" s="12" t="s">
        <v>58</v>
      </c>
      <c r="N27" s="32">
        <f>'集計'!E43</f>
        <v>76</v>
      </c>
    </row>
    <row r="28">
      <c r="A28" s="5"/>
      <c r="B28" s="113" t="s">
        <v>4</v>
      </c>
      <c r="C28" s="115">
        <f t="shared" si="4"/>
        <v>164.8804348</v>
      </c>
      <c r="D28" s="21"/>
      <c r="E28" s="117"/>
      <c r="F28" s="102">
        <f>N13</f>
        <v>51</v>
      </c>
      <c r="G28" s="19"/>
      <c r="H28" s="108">
        <f>sum(H7:J7)</f>
        <v>10.11956522</v>
      </c>
      <c r="I28" s="102">
        <f>N12+N13</f>
        <v>226</v>
      </c>
      <c r="J28" s="1"/>
      <c r="K28" s="1"/>
      <c r="L28" s="5"/>
      <c r="M28" s="12" t="s">
        <v>59</v>
      </c>
      <c r="N28" s="32">
        <f>'集計'!E44</f>
        <v>47</v>
      </c>
    </row>
    <row r="29">
      <c r="A29" s="5"/>
      <c r="B29" s="113" t="s">
        <v>54</v>
      </c>
      <c r="C29" s="121">
        <f t="shared" ref="C29:E29" si="5">sum(D8:D10)</f>
        <v>16.7017316</v>
      </c>
      <c r="D29" s="121">
        <f t="shared" si="5"/>
        <v>13.76666667</v>
      </c>
      <c r="E29" s="121">
        <f t="shared" si="5"/>
        <v>9.583116883</v>
      </c>
      <c r="F29" s="121">
        <f>sum(C8:C10)</f>
        <v>2.236796537</v>
      </c>
      <c r="G29" s="121">
        <f>sum(G8:G10)</f>
        <v>33.45584416</v>
      </c>
      <c r="H29" s="122">
        <f>sum(H8:J10)</f>
        <v>31.25584416</v>
      </c>
      <c r="I29" s="123">
        <f>sum(C29:H29)</f>
        <v>107</v>
      </c>
      <c r="J29" s="1"/>
      <c r="K29" s="1"/>
      <c r="L29" s="5"/>
      <c r="M29" s="12" t="s">
        <v>60</v>
      </c>
      <c r="N29" s="32">
        <f>'集計'!E45</f>
        <v>98</v>
      </c>
    </row>
    <row r="30">
      <c r="A30" s="5"/>
      <c r="B30" s="102" t="s">
        <v>8</v>
      </c>
      <c r="C30" s="124">
        <f>sum(C24:E29)</f>
        <v>247.4210804</v>
      </c>
      <c r="D30" s="21"/>
      <c r="E30" s="22"/>
      <c r="F30" s="78">
        <f>N16</f>
        <v>129</v>
      </c>
      <c r="G30" s="78">
        <f>N17</f>
        <v>295</v>
      </c>
      <c r="H30" s="67">
        <f>sum(H24:H29)</f>
        <v>109.8210615</v>
      </c>
      <c r="I30" s="78"/>
      <c r="J30" s="1"/>
      <c r="K30" s="1"/>
      <c r="L30" s="5"/>
      <c r="M30" s="12" t="s">
        <v>61</v>
      </c>
      <c r="N30" s="32">
        <f>'集計'!E46</f>
        <v>528</v>
      </c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12" t="s">
        <v>62</v>
      </c>
      <c r="N31" s="32">
        <f>'集計'!E47</f>
        <v>521</v>
      </c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98" t="s">
        <v>63</v>
      </c>
      <c r="N32" s="133">
        <f>'集計'!E48</f>
        <v>246</v>
      </c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F15:H15"/>
    <mergeCell ref="F16:H16"/>
    <mergeCell ref="F17:H17"/>
    <mergeCell ref="F18:H18"/>
    <mergeCell ref="C4:C6"/>
    <mergeCell ref="G4:G6"/>
    <mergeCell ref="K4:K6"/>
    <mergeCell ref="D3:F3"/>
    <mergeCell ref="D7:F7"/>
    <mergeCell ref="F14:H14"/>
    <mergeCell ref="D11:F1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8.33"/>
    <col customWidth="1" min="3" max="3" width="4.78"/>
    <col customWidth="1" min="4" max="4" width="8.11"/>
    <col customWidth="1" min="5" max="5" width="6.22"/>
    <col customWidth="1" min="6" max="6" width="7.78"/>
    <col customWidth="1" min="7" max="8" width="5.33"/>
    <col customWidth="1" min="9" max="10" width="8.11"/>
    <col customWidth="1" min="11" max="11" width="5.33"/>
    <col customWidth="1" min="12" max="12" width="3.67"/>
    <col customWidth="1" min="13" max="13" width="20.89"/>
  </cols>
  <sheetData>
    <row r="1">
      <c r="A1" s="1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5"/>
      <c r="M1" s="6" t="s">
        <v>0</v>
      </c>
      <c r="N1" s="130">
        <v>1800.0</v>
      </c>
    </row>
    <row r="2">
      <c r="A2" s="5"/>
      <c r="B2" s="9" t="s">
        <v>2</v>
      </c>
      <c r="C2" s="10">
        <v>1.0</v>
      </c>
      <c r="D2" s="10">
        <v>2.0</v>
      </c>
      <c r="E2" s="10">
        <v>3.0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8</v>
      </c>
      <c r="L2" s="5"/>
      <c r="M2" s="12" t="s">
        <v>9</v>
      </c>
      <c r="N2" s="37">
        <f>'集計'!F2</f>
        <v>36</v>
      </c>
    </row>
    <row r="3">
      <c r="A3" s="5" t="s">
        <v>10</v>
      </c>
      <c r="B3" s="18">
        <v>1.0</v>
      </c>
      <c r="C3" s="19"/>
      <c r="D3" s="20">
        <f>K3-sum(G3:J3)</f>
        <v>36.2381802</v>
      </c>
      <c r="E3" s="21"/>
      <c r="F3" s="22"/>
      <c r="G3" s="23">
        <f>(N17-(N15-(N16-N13)))</f>
        <v>126</v>
      </c>
      <c r="H3" s="24">
        <f>0/33*H11</f>
        <v>0</v>
      </c>
      <c r="I3" s="24">
        <f>1/19*I11</f>
        <v>1.473684211</v>
      </c>
      <c r="J3" s="25">
        <f>3/59*J11</f>
        <v>2.288135593</v>
      </c>
      <c r="K3" s="23">
        <f>(N14-N12)+(N17-(N15-(N16-N13)))</f>
        <v>166</v>
      </c>
      <c r="L3" s="5"/>
      <c r="M3" s="12" t="s">
        <v>11</v>
      </c>
      <c r="N3" s="37">
        <f>'集計'!F3</f>
        <v>236</v>
      </c>
    </row>
    <row r="4">
      <c r="A4" s="5"/>
      <c r="B4" s="18">
        <v>2.0</v>
      </c>
      <c r="C4" s="29">
        <f>C11-sum(C7:C10)</f>
        <v>29.8125</v>
      </c>
      <c r="D4" s="31"/>
      <c r="E4" s="33"/>
      <c r="F4" s="33"/>
      <c r="G4" s="36">
        <f>G11-G3-sum(G8:G10)</f>
        <v>281.9151786</v>
      </c>
      <c r="H4" s="24">
        <f>17/33*H11</f>
        <v>38.63636364</v>
      </c>
      <c r="I4" s="24">
        <f>9/19*I11</f>
        <v>13.26315789</v>
      </c>
      <c r="J4" s="25">
        <f>14/59*J11</f>
        <v>10.6779661</v>
      </c>
      <c r="K4" s="38">
        <f>sum(C4:J6)</f>
        <v>403.0152465</v>
      </c>
      <c r="L4" s="5"/>
      <c r="M4" s="12" t="s">
        <v>16</v>
      </c>
      <c r="N4" s="37">
        <f>'集計'!F4</f>
        <v>105</v>
      </c>
    </row>
    <row r="5">
      <c r="A5" s="5"/>
      <c r="B5" s="18">
        <v>3.0</v>
      </c>
      <c r="C5" s="40"/>
      <c r="D5" s="41"/>
      <c r="E5" s="42">
        <v>0.0</v>
      </c>
      <c r="F5" s="42"/>
      <c r="G5" s="40"/>
      <c r="H5" s="24">
        <f>11/33*H11</f>
        <v>25</v>
      </c>
      <c r="I5" s="24">
        <f>2/19*I11</f>
        <v>2.947368421</v>
      </c>
      <c r="J5" s="25">
        <f>1/59*J11</f>
        <v>0.7627118644</v>
      </c>
      <c r="K5" s="40"/>
      <c r="L5" s="5"/>
      <c r="M5" s="12" t="s">
        <v>17</v>
      </c>
      <c r="N5" s="37">
        <f>'集計'!F5</f>
        <v>37</v>
      </c>
    </row>
    <row r="6">
      <c r="A6" s="5"/>
      <c r="B6" s="18" t="s">
        <v>3</v>
      </c>
      <c r="C6" s="22"/>
      <c r="D6" s="41"/>
      <c r="E6" s="42"/>
      <c r="F6" s="42"/>
      <c r="G6" s="22"/>
      <c r="H6" s="24">
        <f>0/33*H11</f>
        <v>0</v>
      </c>
      <c r="I6" s="24">
        <f>0/19*I11</f>
        <v>0</v>
      </c>
      <c r="J6" s="25">
        <f>0/59*J11</f>
        <v>0</v>
      </c>
      <c r="K6" s="22"/>
      <c r="L6" s="5"/>
      <c r="M6" s="12" t="s">
        <v>18</v>
      </c>
      <c r="N6" s="37">
        <f>'集計'!F6</f>
        <v>22</v>
      </c>
    </row>
    <row r="7">
      <c r="A7" s="5"/>
      <c r="B7" s="18" t="s">
        <v>4</v>
      </c>
      <c r="C7" s="11">
        <f>N13</f>
        <v>16</v>
      </c>
      <c r="D7" s="20">
        <f>K7-C7-sum(H7:J7)</f>
        <v>-3.098775444</v>
      </c>
      <c r="E7" s="21"/>
      <c r="F7" s="22"/>
      <c r="G7" s="19"/>
      <c r="H7" s="24">
        <f>1/33*H11</f>
        <v>2.272727273</v>
      </c>
      <c r="I7" s="24">
        <f>5/19*I11</f>
        <v>7.368421053</v>
      </c>
      <c r="J7" s="25">
        <f>36/59*J11</f>
        <v>27.45762712</v>
      </c>
      <c r="K7" s="11">
        <f>N12+N13</f>
        <v>50</v>
      </c>
      <c r="L7" s="5"/>
      <c r="M7" s="12" t="s">
        <v>19</v>
      </c>
      <c r="N7" s="37">
        <f>'集計'!F7</f>
        <v>85</v>
      </c>
    </row>
    <row r="8">
      <c r="A8" s="5"/>
      <c r="B8" s="18" t="s">
        <v>5</v>
      </c>
      <c r="C8" s="24">
        <f>0/14*K8</f>
        <v>0</v>
      </c>
      <c r="D8" s="24">
        <f>4/14*K8</f>
        <v>3.714285714</v>
      </c>
      <c r="E8" s="24">
        <f>6/14*K8</f>
        <v>5.571428571</v>
      </c>
      <c r="F8" s="24">
        <f>0/14*K8</f>
        <v>0</v>
      </c>
      <c r="G8" s="24">
        <f>1/14*K8</f>
        <v>0.9285714286</v>
      </c>
      <c r="H8" s="19"/>
      <c r="I8" s="24">
        <f>1/14*K8</f>
        <v>0.9285714286</v>
      </c>
      <c r="J8" s="25">
        <f>2/14*K8</f>
        <v>1.857142857</v>
      </c>
      <c r="K8" s="49">
        <f>N8</f>
        <v>13</v>
      </c>
      <c r="L8" s="5"/>
      <c r="M8" s="50" t="s">
        <v>20</v>
      </c>
      <c r="N8" s="37">
        <f>'集計'!F8</f>
        <v>13</v>
      </c>
    </row>
    <row r="9">
      <c r="A9" s="5"/>
      <c r="B9" s="18" t="s">
        <v>6</v>
      </c>
      <c r="C9" s="24">
        <f>0/12*K9</f>
        <v>0</v>
      </c>
      <c r="D9" s="24">
        <f>0/12*K9</f>
        <v>0</v>
      </c>
      <c r="E9" s="24">
        <f>3/12*K9</f>
        <v>3</v>
      </c>
      <c r="F9" s="24">
        <f>1/12*K9</f>
        <v>1</v>
      </c>
      <c r="G9" s="24">
        <f>4/12*K9</f>
        <v>4</v>
      </c>
      <c r="H9" s="24">
        <f>1/12*K9</f>
        <v>1</v>
      </c>
      <c r="I9" s="52"/>
      <c r="J9" s="25">
        <f>3/12*K9</f>
        <v>3</v>
      </c>
      <c r="K9" s="49">
        <f>N10</f>
        <v>12</v>
      </c>
      <c r="L9" s="5"/>
      <c r="M9" s="50" t="s">
        <v>22</v>
      </c>
      <c r="N9" s="37">
        <f>'集計'!F9</f>
        <v>75</v>
      </c>
    </row>
    <row r="10">
      <c r="A10" s="5"/>
      <c r="B10" s="18" t="s">
        <v>7</v>
      </c>
      <c r="C10" s="57">
        <f>2/32*K10</f>
        <v>2.1875</v>
      </c>
      <c r="D10" s="57">
        <f>3/32*K10</f>
        <v>3.28125</v>
      </c>
      <c r="E10" s="57">
        <f>0/32*K10</f>
        <v>0</v>
      </c>
      <c r="F10" s="57">
        <f>0/32*K10</f>
        <v>0</v>
      </c>
      <c r="G10" s="57">
        <f>23/32*K10</f>
        <v>25.15625</v>
      </c>
      <c r="H10" s="57">
        <f>3/32*K10</f>
        <v>3.28125</v>
      </c>
      <c r="I10" s="57">
        <f>1/32*K10</f>
        <v>1.09375</v>
      </c>
      <c r="J10" s="62"/>
      <c r="K10" s="49">
        <f>N18</f>
        <v>35</v>
      </c>
      <c r="L10" s="5"/>
      <c r="M10" s="50" t="s">
        <v>24</v>
      </c>
      <c r="N10" s="37">
        <f>'集計'!F10</f>
        <v>12</v>
      </c>
    </row>
    <row r="11">
      <c r="A11" s="5"/>
      <c r="B11" s="11" t="s">
        <v>8</v>
      </c>
      <c r="C11" s="11">
        <f>N16</f>
        <v>48</v>
      </c>
      <c r="D11" s="65">
        <f>sum(D3:F10)</f>
        <v>49.70636904</v>
      </c>
      <c r="E11" s="21"/>
      <c r="F11" s="22"/>
      <c r="G11" s="11">
        <f>N17</f>
        <v>438</v>
      </c>
      <c r="H11" s="49">
        <f>N9</f>
        <v>75</v>
      </c>
      <c r="I11" s="49">
        <f>N11</f>
        <v>28</v>
      </c>
      <c r="J11" s="49">
        <f>N19</f>
        <v>45</v>
      </c>
      <c r="K11" s="67">
        <f>D14</f>
        <v>679.0152465</v>
      </c>
      <c r="L11" s="5"/>
      <c r="M11" s="50" t="s">
        <v>25</v>
      </c>
      <c r="N11" s="37">
        <f>'集計'!F11</f>
        <v>28</v>
      </c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2" t="s">
        <v>26</v>
      </c>
      <c r="N12" s="37">
        <f>'集計'!F12</f>
        <v>34</v>
      </c>
    </row>
    <row r="13">
      <c r="A13" s="1"/>
      <c r="B13" s="2"/>
      <c r="C13" s="2"/>
      <c r="D13" s="2"/>
      <c r="E13" s="1"/>
      <c r="F13" s="2"/>
      <c r="G13" s="2"/>
      <c r="H13" s="2"/>
      <c r="I13" s="2"/>
      <c r="J13" s="2"/>
      <c r="K13" s="1"/>
      <c r="L13" s="5"/>
      <c r="M13" s="12" t="s">
        <v>27</v>
      </c>
      <c r="N13" s="37">
        <f>'集計'!F13</f>
        <v>16</v>
      </c>
    </row>
    <row r="14">
      <c r="A14" s="5"/>
      <c r="B14" s="70" t="s">
        <v>38</v>
      </c>
      <c r="C14" s="5"/>
      <c r="D14" s="71">
        <f>sum(K3:K10)</f>
        <v>679.0152465</v>
      </c>
      <c r="E14" s="5"/>
      <c r="F14" s="74" t="s">
        <v>39</v>
      </c>
      <c r="H14" s="40"/>
      <c r="I14" s="75">
        <f>sum(C3:F6)/D14</f>
        <v>0.09727422254</v>
      </c>
      <c r="J14" s="76">
        <f t="shared" ref="J14:J19" si="1">$D$14*I14</f>
        <v>66.0506802</v>
      </c>
      <c r="K14" s="1"/>
      <c r="L14" s="5"/>
      <c r="M14" s="12" t="s">
        <v>28</v>
      </c>
      <c r="N14" s="37">
        <f>'集計'!F14</f>
        <v>74</v>
      </c>
    </row>
    <row r="15">
      <c r="A15" s="5"/>
      <c r="B15" s="2"/>
      <c r="C15" s="78"/>
      <c r="D15" s="78"/>
      <c r="E15" s="80"/>
      <c r="F15" s="82" t="s">
        <v>45</v>
      </c>
      <c r="G15" s="21"/>
      <c r="H15" s="22"/>
      <c r="I15" s="84">
        <f>sum(G7:J10)/D14</f>
        <v>0.1153793108</v>
      </c>
      <c r="J15" s="76">
        <f t="shared" si="1"/>
        <v>78.34431116</v>
      </c>
      <c r="K15" s="1"/>
      <c r="L15" s="5"/>
      <c r="M15" s="12" t="s">
        <v>29</v>
      </c>
      <c r="N15" s="37">
        <f>'集計'!F15</f>
        <v>344</v>
      </c>
    </row>
    <row r="16">
      <c r="A16" s="5"/>
      <c r="B16" s="86" t="s">
        <v>41</v>
      </c>
      <c r="C16" s="5"/>
      <c r="D16" s="77">
        <f>(N12+N13+N15-N16)/(N12+N13+N15)</f>
        <v>0.8781725888</v>
      </c>
      <c r="E16" s="88"/>
      <c r="F16" s="82" t="s">
        <v>46</v>
      </c>
      <c r="G16" s="21"/>
      <c r="H16" s="22"/>
      <c r="I16" s="84">
        <f>I14+I15</f>
        <v>0.2126535333</v>
      </c>
      <c r="J16" s="76">
        <f t="shared" si="1"/>
        <v>144.3949914</v>
      </c>
      <c r="K16" s="1"/>
      <c r="L16" s="5"/>
      <c r="M16" s="12" t="s">
        <v>30</v>
      </c>
      <c r="N16" s="37">
        <f>'集計'!F16</f>
        <v>48</v>
      </c>
    </row>
    <row r="17">
      <c r="A17" s="5"/>
      <c r="B17" s="86" t="s">
        <v>42</v>
      </c>
      <c r="C17" s="5"/>
      <c r="D17" s="77"/>
      <c r="E17" s="5"/>
      <c r="F17" s="74" t="s">
        <v>47</v>
      </c>
      <c r="H17" s="40"/>
      <c r="I17" s="75">
        <f>sum(C7:F10)/D14</f>
        <v>0.04661999713</v>
      </c>
      <c r="J17" s="76">
        <f t="shared" si="1"/>
        <v>31.65568884</v>
      </c>
      <c r="K17" s="1"/>
      <c r="L17" s="5"/>
      <c r="M17" s="12" t="s">
        <v>31</v>
      </c>
      <c r="N17" s="37">
        <f>'集計'!F17</f>
        <v>438</v>
      </c>
    </row>
    <row r="18">
      <c r="A18" s="5"/>
      <c r="B18" s="90" t="s">
        <v>43</v>
      </c>
      <c r="C18" s="78"/>
      <c r="D18" s="91"/>
      <c r="E18" s="5"/>
      <c r="F18" s="82" t="s">
        <v>49</v>
      </c>
      <c r="G18" s="21"/>
      <c r="H18" s="22"/>
      <c r="I18" s="84">
        <f>sum(G3:J6)/D14</f>
        <v>0.7407264695</v>
      </c>
      <c r="J18" s="76">
        <f t="shared" si="1"/>
        <v>502.9645663</v>
      </c>
      <c r="K18" s="1"/>
      <c r="L18" s="5"/>
      <c r="M18" s="93" t="s">
        <v>32</v>
      </c>
      <c r="N18" s="37">
        <f>'集計'!F18</f>
        <v>35</v>
      </c>
    </row>
    <row r="19">
      <c r="A19" s="5"/>
      <c r="B19" s="90" t="s">
        <v>44</v>
      </c>
      <c r="C19" s="78"/>
      <c r="D19" s="91"/>
      <c r="E19" s="5"/>
      <c r="F19" s="90" t="s">
        <v>50</v>
      </c>
      <c r="G19" s="95"/>
      <c r="H19" s="78"/>
      <c r="I19" s="84">
        <f>I17+I18</f>
        <v>0.7873464667</v>
      </c>
      <c r="J19" s="76">
        <f t="shared" si="1"/>
        <v>534.6202551</v>
      </c>
      <c r="K19" s="1"/>
      <c r="L19" s="5"/>
      <c r="M19" s="93" t="s">
        <v>33</v>
      </c>
      <c r="N19" s="37">
        <f>'集計'!F19</f>
        <v>45</v>
      </c>
    </row>
    <row r="20">
      <c r="A20" s="1"/>
      <c r="B20" s="1"/>
      <c r="C20" s="1"/>
      <c r="D20" s="1"/>
      <c r="E20" s="5"/>
      <c r="F20" s="90" t="s">
        <v>51</v>
      </c>
      <c r="G20" s="95"/>
      <c r="H20" s="78"/>
      <c r="I20" s="76">
        <f>D14*(I17-I18)</f>
        <v>-471.3088775</v>
      </c>
      <c r="J20" s="78"/>
      <c r="K20" s="1"/>
      <c r="L20" s="5"/>
      <c r="M20" s="12" t="s">
        <v>34</v>
      </c>
      <c r="N20" s="37">
        <f>'集計'!F20</f>
        <v>11</v>
      </c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2" t="s">
        <v>35</v>
      </c>
      <c r="N21" s="37">
        <f>'集計'!F21</f>
        <v>186</v>
      </c>
    </row>
    <row r="22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5"/>
      <c r="M22" s="98" t="s">
        <v>52</v>
      </c>
      <c r="N22" s="132" t="str">
        <f>'集計'!F22</f>
        <v/>
      </c>
    </row>
    <row r="23">
      <c r="A23" s="5"/>
      <c r="B23" s="11">
        <v>1800.0</v>
      </c>
      <c r="C23" s="10">
        <v>2.0</v>
      </c>
      <c r="D23" s="10">
        <v>3.0</v>
      </c>
      <c r="E23" s="100" t="s">
        <v>3</v>
      </c>
      <c r="F23" s="100">
        <v>1.0</v>
      </c>
      <c r="G23" s="100" t="s">
        <v>4</v>
      </c>
      <c r="H23" s="100" t="s">
        <v>54</v>
      </c>
      <c r="I23" s="102" t="s">
        <v>8</v>
      </c>
      <c r="J23" s="1"/>
      <c r="K23" s="1"/>
      <c r="L23" s="1"/>
      <c r="M23" s="2"/>
      <c r="N23" s="2"/>
    </row>
    <row r="24">
      <c r="A24" s="5"/>
      <c r="B24" s="18">
        <v>2.0</v>
      </c>
      <c r="C24" s="105">
        <v>0.0</v>
      </c>
      <c r="E24" s="106"/>
      <c r="F24" s="107">
        <f t="shared" ref="F24:G24" si="2">F30-sum(F27:F29)</f>
        <v>29.8125</v>
      </c>
      <c r="G24" s="107">
        <f t="shared" si="2"/>
        <v>281.9151786</v>
      </c>
      <c r="H24" s="108">
        <f t="shared" ref="H24:H26" si="3">sum(H4:J4)</f>
        <v>62.57748763</v>
      </c>
      <c r="I24" s="109">
        <f>sum(C24:H26)</f>
        <v>403.0152465</v>
      </c>
      <c r="J24" s="1"/>
      <c r="K24" s="1"/>
      <c r="L24" s="5"/>
      <c r="M24" s="12" t="s">
        <v>55</v>
      </c>
      <c r="N24" s="37">
        <f>'集計'!F40</f>
        <v>272</v>
      </c>
    </row>
    <row r="25">
      <c r="A25" s="5"/>
      <c r="B25" s="18">
        <v>3.0</v>
      </c>
      <c r="E25" s="106"/>
      <c r="F25" s="40"/>
      <c r="G25" s="40"/>
      <c r="H25" s="108">
        <f t="shared" si="3"/>
        <v>28.71008029</v>
      </c>
      <c r="I25" s="40"/>
      <c r="J25" s="1"/>
      <c r="K25" s="1"/>
      <c r="L25" s="5"/>
      <c r="M25" s="12" t="s">
        <v>56</v>
      </c>
      <c r="N25" s="37">
        <f>'集計'!F41</f>
        <v>142</v>
      </c>
    </row>
    <row r="26">
      <c r="A26" s="5"/>
      <c r="B26" s="18" t="s">
        <v>3</v>
      </c>
      <c r="C26" s="110"/>
      <c r="D26" s="110"/>
      <c r="E26" s="111"/>
      <c r="F26" s="112"/>
      <c r="G26" s="112"/>
      <c r="H26" s="108">
        <f t="shared" si="3"/>
        <v>0</v>
      </c>
      <c r="I26" s="22"/>
      <c r="J26" s="1"/>
      <c r="K26" s="1"/>
      <c r="L26" s="5"/>
      <c r="M26" s="12" t="s">
        <v>57</v>
      </c>
      <c r="N26" s="37">
        <f>'集計'!F42</f>
        <v>107</v>
      </c>
    </row>
    <row r="27">
      <c r="A27" s="5"/>
      <c r="B27" s="113">
        <v>1.0</v>
      </c>
      <c r="C27" s="115">
        <f t="shared" ref="C27:C28" si="4">I27-sum(F27:H27)</f>
        <v>36.2381802</v>
      </c>
      <c r="D27" s="21"/>
      <c r="E27" s="117"/>
      <c r="F27" s="19"/>
      <c r="G27" s="102">
        <f>(N17-(N15-(N16-N13)))</f>
        <v>126</v>
      </c>
      <c r="H27" s="108">
        <f>sum(H3:J3)</f>
        <v>3.761819804</v>
      </c>
      <c r="I27" s="102">
        <f>(N14-N12)+(N17-(N15-(N16-N13)))</f>
        <v>166</v>
      </c>
      <c r="J27" s="1"/>
      <c r="K27" s="1"/>
      <c r="L27" s="5"/>
      <c r="M27" s="12" t="s">
        <v>58</v>
      </c>
      <c r="N27" s="37">
        <f>'集計'!F43</f>
        <v>88</v>
      </c>
    </row>
    <row r="28">
      <c r="A28" s="5"/>
      <c r="B28" s="113" t="s">
        <v>4</v>
      </c>
      <c r="C28" s="115">
        <f t="shared" si="4"/>
        <v>-3.098775444</v>
      </c>
      <c r="D28" s="21"/>
      <c r="E28" s="117"/>
      <c r="F28" s="102">
        <f>N13</f>
        <v>16</v>
      </c>
      <c r="G28" s="19"/>
      <c r="H28" s="108">
        <f>sum(H7:J7)</f>
        <v>37.09877544</v>
      </c>
      <c r="I28" s="102">
        <f>N12+N13</f>
        <v>50</v>
      </c>
      <c r="J28" s="1"/>
      <c r="K28" s="1"/>
      <c r="L28" s="5"/>
      <c r="M28" s="12" t="s">
        <v>59</v>
      </c>
      <c r="N28" s="37">
        <f>'集計'!F44</f>
        <v>40</v>
      </c>
    </row>
    <row r="29">
      <c r="A29" s="5"/>
      <c r="B29" s="113" t="s">
        <v>54</v>
      </c>
      <c r="C29" s="121">
        <f t="shared" ref="C29:E29" si="5">sum(D8:D10)</f>
        <v>6.995535714</v>
      </c>
      <c r="D29" s="121">
        <f t="shared" si="5"/>
        <v>8.571428571</v>
      </c>
      <c r="E29" s="121">
        <f t="shared" si="5"/>
        <v>1</v>
      </c>
      <c r="F29" s="121">
        <f>sum(C8:C10)</f>
        <v>2.1875</v>
      </c>
      <c r="G29" s="121">
        <f>sum(G8:G10)</f>
        <v>30.08482143</v>
      </c>
      <c r="H29" s="122">
        <f>sum(H8:J10)</f>
        <v>11.16071429</v>
      </c>
      <c r="I29" s="123">
        <f>sum(C29:H29)</f>
        <v>60</v>
      </c>
      <c r="J29" s="1"/>
      <c r="K29" s="1"/>
      <c r="L29" s="5"/>
      <c r="M29" s="12" t="s">
        <v>60</v>
      </c>
      <c r="N29" s="37">
        <f>'集計'!F45</f>
        <v>80</v>
      </c>
    </row>
    <row r="30">
      <c r="A30" s="5"/>
      <c r="B30" s="102" t="s">
        <v>8</v>
      </c>
      <c r="C30" s="124">
        <f>sum(C24:E29)</f>
        <v>49.70636904</v>
      </c>
      <c r="D30" s="21"/>
      <c r="E30" s="22"/>
      <c r="F30" s="78">
        <f>N16</f>
        <v>48</v>
      </c>
      <c r="G30" s="78">
        <f>N17</f>
        <v>438</v>
      </c>
      <c r="H30" s="67">
        <f>sum(H24:H29)</f>
        <v>143.3088775</v>
      </c>
      <c r="I30" s="78"/>
      <c r="J30" s="1"/>
      <c r="K30" s="1"/>
      <c r="L30" s="5"/>
      <c r="M30" s="12" t="s">
        <v>61</v>
      </c>
      <c r="N30" s="37">
        <f>'集計'!F46</f>
        <v>418</v>
      </c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12" t="s">
        <v>62</v>
      </c>
      <c r="N31" s="37">
        <f>'集計'!F47</f>
        <v>488</v>
      </c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98" t="s">
        <v>63</v>
      </c>
      <c r="N32" s="132">
        <f>'集計'!F48</f>
        <v>197</v>
      </c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F15:H15"/>
    <mergeCell ref="F16:H16"/>
    <mergeCell ref="F17:H17"/>
    <mergeCell ref="F18:H18"/>
    <mergeCell ref="C4:C6"/>
    <mergeCell ref="G4:G6"/>
    <mergeCell ref="K4:K6"/>
    <mergeCell ref="D3:F3"/>
    <mergeCell ref="D7:F7"/>
    <mergeCell ref="F14:H14"/>
    <mergeCell ref="D11:F1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78"/>
    <col customWidth="1" min="2" max="5" width="6.22"/>
    <col customWidth="1" min="6" max="6" width="6.78"/>
  </cols>
  <sheetData>
    <row r="1">
      <c r="A1" s="1"/>
      <c r="B1" s="134">
        <v>825.0</v>
      </c>
      <c r="C1" s="134">
        <v>1125.0</v>
      </c>
      <c r="D1" s="134">
        <v>1200.0</v>
      </c>
      <c r="E1" s="134">
        <v>1500.0</v>
      </c>
      <c r="F1" s="134">
        <v>1800.0</v>
      </c>
    </row>
    <row r="2">
      <c r="A2" s="1" t="s">
        <v>39</v>
      </c>
      <c r="B2" s="135">
        <f>'0D 0825'!I14</f>
        <v>0.003180855621</v>
      </c>
      <c r="C2" s="135">
        <f>'0D 1125'!I14</f>
        <v>0.1073228461</v>
      </c>
      <c r="D2" s="135">
        <f>'0D 1200'!I14</f>
        <v>0.1441060524</v>
      </c>
      <c r="E2" s="135">
        <f>'OD 1500'!I14</f>
        <v>0.1513645099</v>
      </c>
      <c r="F2" s="135">
        <f>'OD 1800'!I14</f>
        <v>0.09727422254</v>
      </c>
    </row>
    <row r="3">
      <c r="A3" s="1" t="s">
        <v>45</v>
      </c>
      <c r="B3" s="135">
        <f>'0D 0825'!I15</f>
        <v>0.1338676581</v>
      </c>
      <c r="C3" s="135">
        <f>'0D 1125'!I15</f>
        <v>0.1387413324</v>
      </c>
      <c r="D3" s="135">
        <f>'0D 1200'!I15</f>
        <v>0.08304574751</v>
      </c>
      <c r="E3" s="135">
        <f>'OD 1500'!I15</f>
        <v>0.09578496796</v>
      </c>
      <c r="F3" s="135">
        <f>'OD 1800'!I15</f>
        <v>0.1153793108</v>
      </c>
    </row>
    <row r="4">
      <c r="A4" s="1" t="s">
        <v>47</v>
      </c>
      <c r="B4" s="135">
        <f>'0D 0825'!I17</f>
        <v>0.7603418562</v>
      </c>
      <c r="C4" s="135">
        <f>'0D 1125'!I17</f>
        <v>0.4110145182</v>
      </c>
      <c r="D4" s="135">
        <f>'0D 1200'!I17</f>
        <v>0.5556198786</v>
      </c>
      <c r="E4" s="135">
        <f>'OD 1500'!I17</f>
        <v>0.3304593194</v>
      </c>
      <c r="F4" s="135">
        <f>'OD 1800'!I17</f>
        <v>0.04661999713</v>
      </c>
    </row>
    <row r="5">
      <c r="A5" s="1" t="s">
        <v>49</v>
      </c>
      <c r="B5" s="135">
        <f>'0D 0825'!I18</f>
        <v>0.1026096301</v>
      </c>
      <c r="C5" s="135">
        <f>'0D 1125'!I18</f>
        <v>0.3429213033</v>
      </c>
      <c r="D5" s="135">
        <f>'0D 1200'!I18</f>
        <v>0.2172283215</v>
      </c>
      <c r="E5" s="135">
        <f>'OD 1500'!I18</f>
        <v>0.4223912028</v>
      </c>
      <c r="F5" s="135">
        <f>'OD 1800'!I18</f>
        <v>0.7407264695</v>
      </c>
    </row>
    <row r="6">
      <c r="A6" s="1"/>
      <c r="B6" s="136"/>
      <c r="C6" s="1"/>
      <c r="D6" s="1"/>
      <c r="E6" s="1"/>
      <c r="F6" s="1"/>
    </row>
    <row r="7">
      <c r="A7" s="1"/>
      <c r="B7" s="1"/>
      <c r="C7" s="1"/>
      <c r="D7" s="1"/>
      <c r="E7" s="1"/>
      <c r="F7" s="1"/>
    </row>
    <row r="8">
      <c r="A8" s="1"/>
      <c r="B8" s="134">
        <v>825.0</v>
      </c>
      <c r="C8" s="134">
        <v>1125.0</v>
      </c>
      <c r="D8" s="134">
        <v>1200.0</v>
      </c>
      <c r="E8" s="134">
        <v>1500.0</v>
      </c>
      <c r="F8" s="134">
        <v>1800.0</v>
      </c>
    </row>
    <row r="9">
      <c r="A9" s="1" t="s">
        <v>46</v>
      </c>
      <c r="B9" s="136">
        <f>'0D 0825'!I16</f>
        <v>0.1370485138</v>
      </c>
      <c r="C9" s="136">
        <f>'0D 1125'!I16</f>
        <v>0.2460641785</v>
      </c>
      <c r="D9" s="136">
        <f>'0D 1200'!I16</f>
        <v>0.2271517999</v>
      </c>
      <c r="E9" s="136">
        <f>'OD 1500'!I16</f>
        <v>0.2471494778</v>
      </c>
      <c r="F9" s="136">
        <f>'OD 1800'!I16</f>
        <v>0.2126535333</v>
      </c>
    </row>
    <row r="10">
      <c r="A10" s="1" t="s">
        <v>50</v>
      </c>
      <c r="B10" s="136">
        <f>'0D 0825'!I19</f>
        <v>0.8629514862</v>
      </c>
      <c r="C10" s="136">
        <f>'0D 1125'!I19</f>
        <v>0.7539358215</v>
      </c>
      <c r="D10" s="136">
        <f>'0D 1200'!I19</f>
        <v>0.7728482001</v>
      </c>
      <c r="E10" s="136">
        <f>'OD 1500'!I19</f>
        <v>0.7528505222</v>
      </c>
      <c r="F10" s="136">
        <f>'OD 1800'!I19</f>
        <v>0.7873464667</v>
      </c>
    </row>
    <row r="11">
      <c r="A11" s="1" t="s">
        <v>67</v>
      </c>
      <c r="B11" s="137">
        <f t="shared" ref="B11:F11" si="1">sum(B3:B5)</f>
        <v>0.9968191444</v>
      </c>
      <c r="C11" s="136">
        <f t="shared" si="1"/>
        <v>0.8926771539</v>
      </c>
      <c r="D11" s="136">
        <f t="shared" si="1"/>
        <v>0.8558939476</v>
      </c>
      <c r="E11" s="136">
        <f t="shared" si="1"/>
        <v>0.8486354901</v>
      </c>
      <c r="F11" s="136">
        <f t="shared" si="1"/>
        <v>0.9027257775</v>
      </c>
    </row>
    <row r="12">
      <c r="A12" s="138" t="s">
        <v>68</v>
      </c>
      <c r="B12" s="139">
        <f t="shared" ref="B12:F12" si="2">B17*B11</f>
        <v>537.3090086</v>
      </c>
      <c r="C12" s="139">
        <f t="shared" si="2"/>
        <v>594.2998842</v>
      </c>
      <c r="D12" s="139">
        <f t="shared" si="2"/>
        <v>459.6640434</v>
      </c>
      <c r="E12" s="139">
        <f t="shared" si="2"/>
        <v>662.989808</v>
      </c>
      <c r="F12" s="139">
        <f t="shared" si="2"/>
        <v>612.9645663</v>
      </c>
    </row>
    <row r="13">
      <c r="A13" s="1"/>
      <c r="B13" s="1"/>
      <c r="C13" s="1"/>
      <c r="D13" s="1"/>
      <c r="E13" s="1"/>
      <c r="F13" s="1"/>
    </row>
    <row r="14">
      <c r="A14" s="1"/>
      <c r="B14" s="134">
        <v>825.0</v>
      </c>
      <c r="C14" s="134">
        <v>1125.0</v>
      </c>
      <c r="D14" s="134">
        <v>1200.0</v>
      </c>
      <c r="E14" s="134">
        <v>1500.0</v>
      </c>
      <c r="F14" s="134">
        <v>1800.0</v>
      </c>
    </row>
    <row r="15">
      <c r="A15" s="1" t="s">
        <v>51</v>
      </c>
      <c r="B15" s="136">
        <f>'0D 0825'!I20</f>
        <v>354.5331691</v>
      </c>
      <c r="C15" s="136">
        <f>'0D 1125'!I20</f>
        <v>45.33306306</v>
      </c>
      <c r="D15" s="136">
        <f>'0D 1200'!I20</f>
        <v>181.7356365</v>
      </c>
      <c r="E15" s="136">
        <f>'OD 1500'!I20</f>
        <v>-71.82106155</v>
      </c>
      <c r="F15" s="136">
        <f>'OD 1800'!I20</f>
        <v>-471.3088775</v>
      </c>
      <c r="G15" s="140">
        <f>sum(B15:F15)</f>
        <v>38.47192969</v>
      </c>
    </row>
    <row r="16">
      <c r="A16" s="1"/>
      <c r="B16" s="1"/>
      <c r="C16" s="1"/>
      <c r="D16" s="1"/>
      <c r="E16" s="1"/>
      <c r="F16" s="1"/>
    </row>
    <row r="17">
      <c r="A17" s="1" t="s">
        <v>69</v>
      </c>
      <c r="B17" s="136">
        <f>'0D 0825'!D14</f>
        <v>539.0235647</v>
      </c>
      <c r="C17" s="136">
        <f>'0D 1125'!D14</f>
        <v>665.7500772</v>
      </c>
      <c r="D17" s="136">
        <f>'0D 1200'!D14</f>
        <v>537.0572425</v>
      </c>
      <c r="E17" s="136">
        <f>'OD 1500'!D14</f>
        <v>781.2421419</v>
      </c>
      <c r="F17" s="136">
        <f>'OD 1800'!D14</f>
        <v>679.0152465</v>
      </c>
      <c r="G17" s="140">
        <f>sum(B17:F17)</f>
        <v>3202.088273</v>
      </c>
    </row>
  </sheetData>
  <drawing r:id="rId1"/>
</worksheet>
</file>